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11"/>
  <workbookPr/>
  <xr:revisionPtr revIDLastSave="0" documentId="8_{B7CC0544-4432-4136-95D1-6C6640A53838}" xr6:coauthVersionLast="47" xr6:coauthVersionMax="47" xr10:uidLastSave="{00000000-0000-0000-0000-000000000000}"/>
  <bookViews>
    <workbookView xWindow="0" yWindow="0" windowWidth="0" windowHeight="0" xr2:uid="{00000000-000D-0000-FFFF-FFFF00000000}"/>
  </bookViews>
  <sheets>
    <sheet name="Efficacy and Equity Impact Asse" sheetId="1" r:id="rId1"/>
    <sheet name="Efficacy Score Breakdown" sheetId="3" r:id="rId2"/>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1" l="1"/>
  <c r="L69" i="1"/>
  <c r="N67" i="1"/>
  <c r="L67" i="1"/>
  <c r="P66" i="1"/>
  <c r="N66" i="1"/>
  <c r="L65" i="1"/>
  <c r="N64" i="1"/>
  <c r="L64" i="1"/>
  <c r="N63" i="1"/>
  <c r="L63" i="1"/>
  <c r="P62" i="1"/>
  <c r="L62" i="1"/>
  <c r="P61" i="1"/>
  <c r="N60" i="1"/>
  <c r="L58" i="1"/>
  <c r="L57" i="1"/>
  <c r="L56" i="1"/>
  <c r="H56" i="1"/>
  <c r="P55" i="1"/>
  <c r="N55" i="1"/>
  <c r="L55" i="1"/>
  <c r="R54" i="1"/>
  <c r="P54" i="1"/>
  <c r="L54" i="1"/>
  <c r="P53" i="1"/>
  <c r="N53" i="1"/>
  <c r="L53" i="1"/>
  <c r="N51" i="1"/>
  <c r="L51" i="1"/>
  <c r="L50" i="1"/>
  <c r="L49" i="1"/>
  <c r="L48" i="1"/>
  <c r="R47" i="1"/>
  <c r="P47" i="1"/>
  <c r="N47" i="1"/>
  <c r="L47" i="1"/>
  <c r="D47" i="1"/>
  <c r="L46" i="1"/>
  <c r="R45" i="1"/>
  <c r="P45" i="1"/>
  <c r="N45" i="1"/>
  <c r="L45" i="1"/>
  <c r="P44" i="1"/>
  <c r="N44" i="1"/>
  <c r="R43" i="1"/>
  <c r="P43" i="1"/>
  <c r="O43" i="1"/>
  <c r="P41" i="1"/>
  <c r="L41" i="1"/>
  <c r="D41" i="1"/>
  <c r="L38" i="1"/>
  <c r="N36" i="1"/>
  <c r="L36" i="1"/>
  <c r="L35" i="1"/>
  <c r="L34" i="1"/>
  <c r="L33" i="1"/>
  <c r="L32" i="1"/>
  <c r="P31" i="1"/>
  <c r="N31" i="1"/>
  <c r="L31" i="1"/>
  <c r="L29" i="1"/>
  <c r="R28" i="1"/>
  <c r="P28" i="1"/>
  <c r="N28" i="1"/>
  <c r="L28" i="1"/>
  <c r="N27" i="1"/>
  <c r="L27" i="1"/>
  <c r="N24" i="1"/>
  <c r="L24" i="1"/>
  <c r="L23" i="1"/>
  <c r="N22" i="1"/>
  <c r="L22" i="1"/>
  <c r="P21" i="1"/>
  <c r="N21" i="1"/>
  <c r="L21" i="1"/>
  <c r="L20" i="1"/>
  <c r="L19" i="1"/>
  <c r="N18" i="1"/>
  <c r="L18" i="1"/>
  <c r="P17" i="1"/>
  <c r="N17" i="1"/>
  <c r="L17" i="1"/>
  <c r="P16" i="1"/>
  <c r="N16" i="1"/>
  <c r="L16" i="1"/>
  <c r="N15" i="1"/>
  <c r="L15" i="1"/>
  <c r="D15" i="1"/>
  <c r="N14" i="1"/>
  <c r="L14" i="1"/>
  <c r="R11" i="1"/>
  <c r="P11" i="1"/>
  <c r="L11" i="1"/>
  <c r="L10" i="1"/>
  <c r="N8" i="1"/>
  <c r="L8" i="1"/>
  <c r="R7" i="1"/>
  <c r="P7" i="1"/>
  <c r="N7" i="1"/>
  <c r="L7" i="1"/>
  <c r="N6" i="1"/>
  <c r="L6" i="1"/>
  <c r="N5" i="1"/>
  <c r="L5" i="1"/>
  <c r="D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24" authorId="0" shapeId="0" xr:uid="{00000000-0006-0000-0000-000001000000}">
      <text>
        <r>
          <rPr>
            <sz val="11"/>
            <color theme="1"/>
            <rFont val="Arial"/>
          </rPr>
          <t>======
ID#AAAAJOQu63E
Lily MacIver    (2020-03-21 02:25:27)
the effect is best when coupled with police enforcement and decreases after drivers pass the sign</t>
        </r>
      </text>
    </comment>
    <comment ref="H28" authorId="0" shapeId="0" xr:uid="{00000000-0006-0000-0000-000002000000}">
      <text>
        <r>
          <rPr>
            <sz val="11"/>
            <color theme="1"/>
            <rFont val="Arial"/>
          </rPr>
          <t>======
ID#AAAAGQsDjXY
Nicole Ferrara    (2020-03-04 00:16:02)
Lily - can you look into whether separated bike lanes are causally related to displacement in the literature? Manuel or Dani may have some background from their East Oakland planning effort.</t>
        </r>
      </text>
    </comment>
    <comment ref="I28" authorId="0" shapeId="0" xr:uid="{00000000-0006-0000-0000-000003000000}">
      <text>
        <r>
          <rPr>
            <sz val="11"/>
            <color theme="1"/>
            <rFont val="Arial"/>
          </rPr>
          <t>======
ID#AAAAGQsDjXg
Nicole Ferrara    (2020-03-04 00:17:14)
Lily - this is where you should include strategies from the Bike Plan, and other equity planning strategies like DICE: https://visionzeronetwork.org/centering-community-in-the-public-engagement-process/</t>
        </r>
      </text>
    </comment>
    <comment ref="H43" authorId="0" shapeId="0" xr:uid="{00000000-0006-0000-0000-000004000000}">
      <text>
        <r>
          <rPr>
            <sz val="11"/>
            <color theme="1"/>
            <rFont val="Arial"/>
          </rPr>
          <t>======
ID#AAAAGQsDjXE
Nicole Ferrara    (2020-03-04 00:10:30)
Can you go through all of the equity impacts and give + or - as I did here?</t>
        </r>
      </text>
    </comment>
    <comment ref="J58" authorId="0" shapeId="0" xr:uid="{00000000-0006-0000-0000-000006000000}">
      <text>
        <r>
          <rPr>
            <sz val="11"/>
            <color theme="1"/>
            <rFont val="Arial"/>
          </rPr>
          <t>======
ID#AAAAJJsfFwQ
Nicole Ferrara    (2020-02-26 23:54:45)
Note that we're not calling our effort Vision Zero so I wouldn't include in recommendation language</t>
        </r>
      </text>
    </comment>
  </commentList>
</comments>
</file>

<file path=xl/sharedStrings.xml><?xml version="1.0" encoding="utf-8"?>
<sst xmlns="http://schemas.openxmlformats.org/spreadsheetml/2006/main" count="648" uniqueCount="439">
  <si>
    <t>SLOW OAKLAND STREETS: Assessment of efficacy and equity impacts of crash prevention strategies</t>
  </si>
  <si>
    <t>Strategy</t>
  </si>
  <si>
    <t>Description</t>
  </si>
  <si>
    <t xml:space="preserve">Efficacy </t>
  </si>
  <si>
    <t>Efficacy Indicator (CMF or other)</t>
  </si>
  <si>
    <t>Lasting Impact?</t>
  </si>
  <si>
    <t xml:space="preserve">Within City Jurisdiction? </t>
  </si>
  <si>
    <t>Is Oakland Doing This?</t>
  </si>
  <si>
    <t>Equity Impacts (Racial/Age/Ability )</t>
  </si>
  <si>
    <t>Equity Mitigations?</t>
  </si>
  <si>
    <t>Recommendation</t>
  </si>
  <si>
    <t>Coordination Team</t>
  </si>
  <si>
    <t>Source</t>
  </si>
  <si>
    <t>Research</t>
  </si>
  <si>
    <t>High, Medium, Limited, or Unknown</t>
  </si>
  <si>
    <t>Intervention's impact after implementation</t>
  </si>
  <si>
    <t>The City has the authority to enact the strategy</t>
  </si>
  <si>
    <t>Whether or not the City is using this tool</t>
  </si>
  <si>
    <t>Benefits or concerns for vulnerable populations</t>
  </si>
  <si>
    <t xml:space="preserve">How equity concerns might be mitigated </t>
  </si>
  <si>
    <t>(Format: Chicago 17th edition full note)</t>
  </si>
  <si>
    <t>POLICY MEASURES</t>
  </si>
  <si>
    <t>Lower Speed Limits [1][2]</t>
  </si>
  <si>
    <t>Lower speed limits to 20 MPH to reduce the likelihood of crash fatalities</t>
  </si>
  <si>
    <t>HIGH</t>
  </si>
  <si>
    <t>YES</t>
  </si>
  <si>
    <t>NO - except for school zones, which can be reduced to 15 mph</t>
  </si>
  <si>
    <t>NO</t>
  </si>
  <si>
    <t xml:space="preserve"> + Improves safety area-wide and/or in specific high risk neighborhoods
- Can be associated with more ticketing in low-income communities</t>
  </si>
  <si>
    <t>Ensure that any reduced speed limits are very clearly signed, that the public is thoroughly educated about the changes, and prioritize high visibility enforcement for any related enforcement actions</t>
  </si>
  <si>
    <t xml:space="preserve">1) Implement school slow zones beginning with Council action. 2) Advocate for changes to State law to give Oakland the ability to reduce speed limits. </t>
  </si>
  <si>
    <t>Safe Streets</t>
  </si>
  <si>
    <t>We examine the effect on the incidence of casualties and crashes of a city-wide vehicle speed limit reduction in New York City (NYC) streets. The law change, part of Mayor Bill de Blasio’s Vision Zero Action Plan to improve traffic safety, cuts the default speed limit for streets with no speed limit signs from 30 to 25 mph beginning November 7, 2014. Several difference-in-differences regressions show a statistically significant and meaningful decline in injuries and crashes (38.7% decline in casualties and a 35.8% reduction in crashes on treated streets).</t>
  </si>
  <si>
    <t>"Many countries including the Netherlands, Sweden, and Australia approach setting speed limits from a different conceptual framework. Instead of establishing speed limits based on driver operating behavior, many countries begin with the premise that the human body is vulnerable and unlikely to survive impact speeds more than 40 mph."</t>
  </si>
  <si>
    <t>Mode Shift Measures [3][4]</t>
  </si>
  <si>
    <t xml:space="preserve">Smart growth development policies, congestion pricing, complete street design standards, and transportation demand management strategies can reduce car dependence, improve transit use, and promote walking and biking - meaning less vehicle miles traveled and vehicles per capita - two of the strongest predictors of traffic fatalities. </t>
  </si>
  <si>
    <t>MEDIUM</t>
  </si>
  <si>
    <t xml:space="preserve">Research shows that states with higher urban density and more walking are associated with lower traffic fatality rates. CMF unquantified. </t>
  </si>
  <si>
    <t>UNKNOWN</t>
  </si>
  <si>
    <t>Consider ways to strengthen employer and developer TDM measures</t>
  </si>
  <si>
    <t>PPD</t>
  </si>
  <si>
    <t>Places with higher urban density and more walking are associated with lower traffic fatality rates. Findings suggest that if additional progress is to be made in reducing traffic fatalities, emphasis needs focus on the type of urban form that we are creating to ensure that we are fostering environments that encourage multi-modal transportation such as walking to reduce the VMT and Vehicles per Capita, the two strongest predictors of traffic fatalities.</t>
  </si>
  <si>
    <t>This research suggests that implementing more multi-modal planning, pricing reforms, Smart Growth policies, and TDM programs will also provide significant traffic safety benefits that should be considered in their evaluation.</t>
  </si>
  <si>
    <t>Rideshare Partnerships to Prevent Drunk Driving [5][6][7][8]</t>
  </si>
  <si>
    <t>Promote ride-sharing in areas with alcohol-focused entertainment to encourage its use as an alternative to drunk driving.</t>
  </si>
  <si>
    <t>LIMITED</t>
  </si>
  <si>
    <t xml:space="preserve">Various studies find that the introduction of ride-sharing services decreases drunk-driving, citing the effect as a decrease of 4%-12% depending on the study. </t>
  </si>
  <si>
    <t>This paper examines the effect of ridesharing services such as Lyft and Uber on the incidence of drunk driving and other alcohol-related crimes. Ridesharing services are convenient, low-cost alternatives to traditional taxi cabs. I use the gradual expansion of ridesharing to cities across the U.S. to identify the effects of ridesharing on alcohol related traffic fatalities, DUI/DWI arrests, physical and sexual assault arrests, and arrests for other potentially alcohol-related crimes.</t>
  </si>
  <si>
    <t xml:space="preserve">This study investigates the effect of the introduction of Uber in New York City in May 2011 on drunk-driving. A difference-in-differences estimation of this effect implies a
25-35% decrease in the alcohol-related collision rate for the affected New York City boroughs, or about 40 collisions per month. With differentiated treatment effects for each effected county, the difference-in-differences effect is higher for
Manhattan, average for the Bronx and Brooklyn, and lower for Queens. </t>
  </si>
  <si>
    <t xml:space="preserve">We found that the deployment of Uber services in a given metropolitan county had no association with the number of subsequent traffic fatalities, whether measured in aggregate or specific to drunk-driving fatalities or fatalities during weekends and holidays.
</t>
  </si>
  <si>
    <t>Using U.S. county‐level data from 2007 through 2015, we investigate whether the introduction of the ride‐sharing service Uber is associated with changes in fatal vehicle crashes and crime. We find that Uber's entry lowers the rate of DUIs and fatal accidents. For some specifications, we also find declines in arrests for assault and disorderly conduct. Conversely, we observe an increase in vehicle thefts.</t>
  </si>
  <si>
    <r>
      <rPr>
        <b/>
        <sz val="11"/>
        <rFont val="Arial"/>
      </rPr>
      <t>Lower Legal Driving Limit for Blood Alcohol Level</t>
    </r>
    <r>
      <rPr>
        <b/>
        <sz val="11"/>
        <color theme="1"/>
        <rFont val="Arial"/>
      </rPr>
      <t xml:space="preserve"> [9][10]</t>
    </r>
  </si>
  <si>
    <t xml:space="preserve">Lower the permitted blood alcohol levels (BAC) from 0.08 to 0.05 </t>
  </si>
  <si>
    <r>
      <rPr>
        <u/>
        <sz val="11"/>
        <color rgb="FF000000"/>
        <rFont val="Arial"/>
      </rPr>
      <t>Lowering the BAC limit to 0.05% in eight European countries was effective in reducing fatality rates (per million people) by 4.3% and reducing fatality
rates/km by 6.1%</t>
    </r>
    <r>
      <rPr>
        <sz val="11"/>
        <color theme="1"/>
        <rFont val="Arial"/>
      </rPr>
      <t>. In some cases, the effect of lowering the BAC limit is relatively small, and in other cases may be temporary. In some jurisdictions, lasting reductions in collision rates have been reported. Available evidence suggests that where beneficial effects are observed they are due to general deterrence as well, and not solely to legal changes to blood alcohol concentrations (BAC) levels.</t>
    </r>
  </si>
  <si>
    <t xml:space="preserve"> - If blood alcohol limits are changed without an accompanying educational campaign, ticketing could rise, which disproportionately impacts low-income people
+ Can help reduce alcohol-involved crashes, and all crashes impact High Priority Neighborhoods more acutely</t>
  </si>
  <si>
    <t xml:space="preserve">Conduct extensive awareness campaign to accompany policy change. Consider programs that can supplement the effort, such as prepaying for morning parking, and free rides home for people at bars, etc. </t>
  </si>
  <si>
    <t>Monitor state legislative efforts on this issue and bring to City Council for support if applicable; inform associated mass media strategy/complementary efforts to discourage drinking and driving</t>
  </si>
  <si>
    <t>"Elevated alcohol levels impact various aspects of driving performance including perception reaction (P-R) time, braking ability, tracking performance, distance estimation, lane deviation and speed variation. P-R time is the duration required for a driver to observe and react to a roadway obstruction. Among drivers 21 and over the risk of being in a crash started increasing at a BAC of 0.05%"</t>
  </si>
  <si>
    <t xml:space="preserve"> There is substantial variability in the types and rigour of methods used to evaluate these legislative measures, and thus
not surprisingly there is variability in the results observed. In most but not all cases where an evaluation of an introduced or
lowered legal limit has been conducted, some beneficial effect on traffic safety measures has been reported. These effects are in
some cases relatively small, and in other cases may be temporary. In some jurisdictions, lasting reductions in collision rates have
been reported. Available evidence suggests that where beneficial effects are observed they are due to general deterrence, and not
restricted only to drivers at blood alcohol concentrations (BAC) specifically affected by the legal change. </t>
  </si>
  <si>
    <r>
      <rPr>
        <b/>
        <sz val="11"/>
        <rFont val="Arial"/>
      </rPr>
      <t>Restrict Deliveries to Off-Peak Hours</t>
    </r>
    <r>
      <rPr>
        <b/>
        <sz val="11"/>
        <color theme="1"/>
        <rFont val="Arial"/>
      </rPr>
      <t xml:space="preserve"> [11][12]</t>
    </r>
  </si>
  <si>
    <t xml:space="preserve">Mandate truck deliveries be done during off-peak hours on the busiest streets to improve road safety, ease congestion, and reduce emissions  </t>
  </si>
  <si>
    <t>Literature suggests that  that off-peak deliveries increase safety by reducing the conflicts between trucks, passenger cars, cyclers, and pedestrians.</t>
  </si>
  <si>
    <t xml:space="preserve"> - May be challenging for small businesses that don't have purchasing power to shift delivery hours
+ Mitigates air pollution associated with idling diesel trucks during the busiest time of day</t>
  </si>
  <si>
    <t>Consider at a later date</t>
  </si>
  <si>
    <r>
      <rPr>
        <u/>
        <sz val="11"/>
        <color rgb="FF000000"/>
        <rFont val="Arial"/>
      </rPr>
      <t>[11] Sánchez-Díaz, Iván, Peter Georén, and Märta Brolinson. “Shifting Urban Freight Deliveries to the Off-Peak Hours: A Review of Theory and Practice.” Transport Reviews 37, no. 4 (July 4, 2017): 521–43. https://doi.org/10.1080/01441647.2016.1254691.</t>
    </r>
    <r>
      <rPr>
        <sz val="11"/>
        <color theme="1"/>
        <rFont val="Arial"/>
      </rPr>
      <t xml:space="preserve">
</t>
    </r>
  </si>
  <si>
    <t>This paper presents a comprehensive review of the literature on off-peak hour deliveries (OPHD). The review identifies different approaches and policy levers used in the past, such as the laissez-faire approach, a road pricing approach, an incentives approach, and a regulatory approach. The paper also identifies different delivery reception schemes discussed in the literature. The authors complement the theory with a synthesis of pilot tests and the analysis of a set of interviews with practitioners (from the public sector and other organisations) in charge of OPHD programmes.</t>
  </si>
  <si>
    <t>[12] Koutoulas, Anastasios, Joel P. Franklin, and Jonas Eliasson. “Assessing Nighttime Deliveries in Stockholm, Sweden.” Transportation Research Record 2605, no. 1 (January 1, 2017): 54–60. https://doi.org/10.3141/2605-05.</t>
  </si>
  <si>
    <t>Off-peak-hour delivery programs are a promising but challenging concept for promoting sustainable urban logistics. Stockholm, Sweden, initialized a nighttime freight deliveries program in 2014, aimed at a more efficient and environmentally friendly delivery system within the central area of the city. This paper identifies the social costs and benefits, how these are distributed between stakeholders, and their effects on the everyday life and operations of all interested parties. According to information and data collected through in-depth interviews with private and public stakeholders, the social benefits mainly consist of increased efficiency and productivity for carriers and receivers, reduced transport costs, fuel cost savings, and reduced congestion and accidents when trucks are moved from peak to off-peak hours.</t>
  </si>
  <si>
    <t>Pre-pay for Morning Parking [13]</t>
  </si>
  <si>
    <t>Allow for people to pre-pay for morning parking in the evening to reduce drinking and driving.</t>
  </si>
  <si>
    <t xml:space="preserve">Efficacy for crash reduction is unquantified. </t>
  </si>
  <si>
    <t>PMM</t>
  </si>
  <si>
    <t>Mandatory Helmet Laws [14][15][16]</t>
  </si>
  <si>
    <t>These laws require children and/or adults to wear helmets</t>
  </si>
  <si>
    <t xml:space="preserve">When coupled with helmet education and promotion programs, these laws can result in an increase in helmet use. Some studies point to a decrease in injuries and mortality for bicyclists post-law implementation, while others argue that there is no good evidence. </t>
  </si>
  <si>
    <t>YES - for under 18</t>
  </si>
  <si>
    <t xml:space="preserve"> - Can result in additional ticketing and/or discourage people who can't afford helmets to not bike
- Some professionals argue that safe infrastructure should be the focus</t>
  </si>
  <si>
    <t>Free helmet giveaways</t>
  </si>
  <si>
    <t>Maintain existing law and continue to promote through the Safe Routes to School Program</t>
  </si>
  <si>
    <t xml:space="preserve">This article systematically reviews 32 studies that evaluated the impact of community-based injury prevention efforts on childhood injuries, safety behaviors, and the adoption of safety devices. Interventions targeted schools, municipalities, and cities. Most relied on an educational approach, sometimes in combination with legislation or subsidies, to reduce the cost of safety devices such as bicycle helmets. </t>
  </si>
  <si>
    <t>[15] Bustamante, Claudia. “The Effectiveness of Child Restraint and Bicycle Helmet Policies to Improve Road Safety.” Electronic Theses and Dissertations, January 1, 2017. https://stars.library.ucf.edu/etd/5361.</t>
  </si>
  <si>
    <t>States with and without bicycle helmet laws were analyzed in 2017 "..bicyclists from the states with the bicycle helmet laws are 229 times more likely to wear a helmet compared to those from the states without the BHL."</t>
  </si>
  <si>
    <t>Bicycle helmet legislation appears to be effective in increasing helmet use and decreasing head injury rates in the populations for which it is implemented. However, there are very few high quality evaluative studies that measure these outcomes, and none that reported data on possible declines in bicycle use.</t>
  </si>
  <si>
    <t>ENGINEERING</t>
  </si>
  <si>
    <t xml:space="preserve">Applications for All Street Types </t>
  </si>
  <si>
    <t>Daylighting/Restrict parking near intersections [17][18]</t>
  </si>
  <si>
    <t>Daylighting enhances visibility at intersections across modes, and especially between drivers and pedestrians</t>
  </si>
  <si>
    <t>CMF: 0.70 (Crash type: pedestrian, Crash severity: all)</t>
  </si>
  <si>
    <t>NO - not systematically</t>
  </si>
  <si>
    <t xml:space="preserve"> + Enhances safety especially for children and people using assistive devices who may be even less visible when blocked by parked cars</t>
  </si>
  <si>
    <t>1) Update OMC to allow for systematic daylighting based on current best practice. 2) Update SOPs to systematically daylight intersections</t>
  </si>
  <si>
    <t>Paving, Safe Streets, PPD, PMM</t>
  </si>
  <si>
    <t>Curb extensions (concrete or painted) [19][20]</t>
  </si>
  <si>
    <t>Similar to daylighting (above) curb extensions go one step further. By extending the sidewalk at an intersection, pedestrian visibility is enhanced and crossing distances are reduced</t>
  </si>
  <si>
    <t>Develop Safe Streets Safe Families Plan to prioritize implementation</t>
  </si>
  <si>
    <t>Safe Streets, Great Streets</t>
  </si>
  <si>
    <t>Curb extensions improve safety because they increase visibility, reduce speed of turning vehicles, encourage pedestrians to cross at designated locations, shorten the crossing distance, and prevent vehicles from parking at corners. When used with other interventions, curb extensions are effective at reducing wait times to cross, decreasing percentage of vehicles that pass before yielding, and increasing the distance that vehicles yield in advance of the crosswalk</t>
  </si>
  <si>
    <t>High visibility crosswalk (continental crosswalk) [21][22][23]</t>
  </si>
  <si>
    <t>These make use of longitudinal or “continental,” or “ladder” style pavement markings, which are highly visible to approaching traffic</t>
  </si>
  <si>
    <t>CMF: 0.52</t>
  </si>
  <si>
    <t>YES - as of 2018, this is our standard practice for all new crosswalks</t>
  </si>
  <si>
    <t xml:space="preserve"> + High Visibility Crosswalks reduce crash risk with very minimal impact on the community
- Certain other crosswalk styles are better for certain disabled populations: triple four crosswalks reduce undulation impacts on people with spine sensitivites and ladder style crosswalks can be more helpful in navigating the intersection for people with visual disabilities</t>
  </si>
  <si>
    <t>Ladder and/or Triple-Four styles of crosswalks should be used in areas where people with visual or spinal injuries may frequently travel</t>
  </si>
  <si>
    <t>Proactively implement high visibility crosswalks on high injury corridors, starting with areas in and around school and senior zones. [High visibility crosswalks are already part of all repaving projects.]</t>
  </si>
  <si>
    <t>Statistical analysis compared the number of collisions predicted for the after period had the enhanced crosswalks not been installed with the number of collisions observed. The estimated reduction is 37%, with the 95% confidence interval ranging from 13% to 60%</t>
  </si>
  <si>
    <t xml:space="preserve"> Highvisibility crosswalks are preferred over parallel line crosswalks and should be provided at all established midblock pedestrian crossings. They should also be considered at
uncontrolled intersections. </t>
  </si>
  <si>
    <r>
      <rPr>
        <b/>
        <sz val="11"/>
        <color rgb="FF000000"/>
        <rFont val="Arial"/>
      </rPr>
      <t>Streets with Vehicle Restrictions [24][25][26][27]</t>
    </r>
  </si>
  <si>
    <t>Streets with vehicle restrictions prioritize non-auto modes at all times or during select hours</t>
  </si>
  <si>
    <t>In NYC, injuries to motorists and passengers in the projected areas was reduced 63%. This intervention is also commonly used in the UK and Holland.</t>
  </si>
  <si>
    <t>- Restricted streets are often located in downtown areas and may be more accessible for certain populations.</t>
  </si>
  <si>
    <t>Ensure that vulnerable populations have equitable access, especially people with disabilities. Consider needs of small business operations.</t>
  </si>
  <si>
    <t>PPD, Slow Streets 2.0?</t>
  </si>
  <si>
    <t>In this report, injuries to motorists and passengers in the projected areas was reduced 63%.</t>
  </si>
  <si>
    <t>It is often necessary and sometimes desirable to permit limited vehicle access to pedestrian areas. For example, buses, orange badge holders, cycles and delivery vehicles may be exempted. This is currently used extensively throughout the UK in retail and commercial centres where total pedestrianisation is either not practical or desirable</t>
  </si>
  <si>
    <t>[27] DeRobertis, Michelle. “Has Restricting Traffic in Italian City Centers Improved Livability? The Case Study of Brescia,” 2019. https://trid.trb.org/view/1666450.</t>
  </si>
  <si>
    <t>Lane reductions (Road Diets) [28][29]</t>
  </si>
  <si>
    <t>Reducing the number of lanes on a roadway is used to redistribute space to diversify mode options (transit, biking, walking)</t>
  </si>
  <si>
    <t>CMF: 0.56 (Crash type: all, Urban, Converting 4 to 3 Lanes). An overall crash reduction of 19 to 47 percent (4-Lane to 3-Lanes)</t>
  </si>
  <si>
    <t>- Interventions that the significantly change the character of streets will need mitigations that consider the potential for increased gentrification pressures.</t>
  </si>
  <si>
    <t>Create a equity plan for transportation safety implementation that engages the impacted communities</t>
  </si>
  <si>
    <t>Benefits of Road Diet installations may include:
An overall crash reduction of 19 to 47 percent.
Reduction of rear-end and left-turn crashes due to the dedicated left-turn lane.
Reduced right-angle crashes as side street motorists cross three versus four travel lanes.
Fewer lanes for pedestrians to cross.
Opportunity to install pedestrian refuge islands, bicycle lanes, on-street parking, or transit stops.
Traffic calming and more consistent speeds.
A more community-focused, "Complete Streets" environment that better accommodates the needs of all road users.</t>
  </si>
  <si>
    <t>Traffic Signals [30][31]</t>
  </si>
  <si>
    <t>Traffic lights are signalling devices positioned at road intersections, pedestrian crossings, and other locations to control flows of traffic</t>
  </si>
  <si>
    <t>CMF: 0.65 - 0.56 (Crash type: all).</t>
  </si>
  <si>
    <t>[31] Harkey, David L., and National Cooperative Highway Research Program. Accident Modification Factors for Traffic Engineering and ITS Improvements. Transportation Research Board, 2008.</t>
  </si>
  <si>
    <t>Lane Narrowing [32][33]</t>
  </si>
  <si>
    <t xml:space="preserve">Narrowing vehicle lanes is used to  decrease vehicle speeds and make room for bike lanes or pedestrian refuge islands </t>
  </si>
  <si>
    <t xml:space="preserve">CMF: 0.62 (Crash type: all, Rural, lane narrowed to 9 ft or less) The narrower the lane modification the greater the crash reduction. </t>
  </si>
  <si>
    <t xml:space="preserve"> + Reducing lane widths has a significant positive traffic calming impact with minimal tradeoffs
- Narrow lanes with transit vehicles can result in property damage collisions that slow transit service</t>
  </si>
  <si>
    <t>Ensure that any new infrastructure includes equity-centered engagement, especially in High Priority Neighborhoods. 
Evaluate the tradeoffs between safety and transit operations based on the roadway context.</t>
  </si>
  <si>
    <t>Update SOPs to match what's in Great Streets Design Guidelines</t>
  </si>
  <si>
    <t xml:space="preserve"> </t>
  </si>
  <si>
    <t>[33] Harwood, D. W. “EFFECTIVE UTILIZATION OF STREET WIDTH ON URBAN ARTERIALS.” NCHRP Report, no. 330 (August 1990). https://trid.trb.org/view.aspx?id=312924.</t>
  </si>
  <si>
    <t>"...all projects evaluated during the course of the study that consisted of lane widths exclusively of 10 feet or more [rather than 12 feet] resulted in accident rates that were either reduced or unchanged."</t>
  </si>
  <si>
    <r>
      <rPr>
        <b/>
        <sz val="11"/>
        <color rgb="FF000000"/>
        <rFont val="Arial"/>
      </rPr>
      <t>Slow Zones [34][35][36]</t>
    </r>
  </si>
  <si>
    <t xml:space="preserve">Slow Zones have infrastructure and signage complementing speed limits lower than 20 mph in designated zones. Also called 'home zones' in residential areas. </t>
  </si>
  <si>
    <t>CMF: 0.71 (Crash type: all, Severity: all) Some types of slow zone treatments are effective in reducing vehicle traffic speed and vehicle and pedestrian crash rates, particularly those with pedestrian-only streets or 20mph speed limits.</t>
  </si>
  <si>
    <t xml:space="preserve">Los Angeles prioritized 50 of their most vulnerable schools by number of vehicle-pedestrian/ bike collisions, number of students who live within 1/4 mile from school, number of students eligible for Free-Reduced Price Meals, and lack of prior state/federal Safe Routes to School funding. </t>
  </si>
  <si>
    <t>Traffic Circles and Roundabouts [37][38]</t>
  </si>
  <si>
    <t xml:space="preserve">A type of circular intersection or junction in which road traffic is permitted to flow in one direction around a central island, and priority is typically given to traffic already in the junction. </t>
  </si>
  <si>
    <t>CMF: 0.73 (Crash type: Fatal/Injury, Pedestrian)</t>
  </si>
  <si>
    <t>YES - on a limited basis</t>
  </si>
  <si>
    <t>- Interventions that significantly change the character of streets will need mitigations that consider the potential for increased gentrification pressures.</t>
  </si>
  <si>
    <t xml:space="preserve">Create a equity plan for transportation safety implementation that engages the impacted communities
</t>
  </si>
  <si>
    <t>???</t>
  </si>
  <si>
    <t>Great Streets, Safe Streets</t>
  </si>
  <si>
    <t>Evaluation of accident data in the UK (DETR, 2001) indicates that replacement of regular junctions in urban areas by new roundabouts and mini-roundabouts has reduced the number of injury accidents on average by 40%. In rural areas, this reduction was 76%. Research in the Netherlands showed that reconstruction of urban 4 armed junctions into roundabouts caused a reduction in the number of casualties by 69%. In rural areas the reduction in the number of casualties was as high as 86% (ASVV, 1996). Kennedy et al (1998) found that the mean severity of accidents at mini-roundabouts was much lower than at priority junctions or at signalised junctions.</t>
  </si>
  <si>
    <t>Advanced Yield or Stop Markings and Signs [39]</t>
  </si>
  <si>
    <t xml:space="preserve">Advance yield and stop lines include the stop bar or “sharks teeth” yield markings placed 20 to 50 feet in advance of a marked crosswalk to indicate where vehicles are required to stop or yield in compliance with the accompanying “STOP Here for Pedestrians” or “YIELD Here to Pedestrians” </t>
  </si>
  <si>
    <t>CMF: 0.8 (Crash type: 
Rear end, Sideswipe
Crash severity: All, Urban and suburban)</t>
  </si>
  <si>
    <t xml:space="preserve">Update SOPs? </t>
  </si>
  <si>
    <t xml:space="preserve">Speed Feedback Signs/Dynamic Safety Signs [40][41][42] </t>
  </si>
  <si>
    <t xml:space="preserve">Signs that provide easily understandable messages to drivers about either their behavior (e.g. speed) or a safety condition. </t>
  </si>
  <si>
    <t>CMF: 0.93 - (Crash type: all, Crash severity: all, Rural. Specifically on curves in the road). Note: non-dynamic messages/signs are not as effective.</t>
  </si>
  <si>
    <t>YES/MINIMAL</t>
  </si>
  <si>
    <t>- High injury corridors and intersections are concentrated in communities of concern (high numbers of people of color, low-income, young and old residents)</t>
  </si>
  <si>
    <t xml:space="preserve">Improvements should be prioritized for the most communities of concern (COCs) along the HIN </t>
  </si>
  <si>
    <t xml:space="preserve">Do not pursue at this time? </t>
  </si>
  <si>
    <t xml:space="preserve"> The Center for Transportation Research and Education at Iowa State University conducted a national demonstration project to evaluate the effectiveness of two different DSFSs in reducing speed and crashes on curves at 22 total sites on rural two-lane roadways in seven States. Large reductions in the number of vehicles traveling over the posted or advisory speed occurred for all of the after periods at the PC and CC, indicating that the signs were effective in reducing high-end speeds, as well as average and 85th percentile speeds. A before-and-after crash analysis was also conducted, and crash modification factors (CMF) were developed. CMFs ranged from 0.93 to 0.95 depending on the crash type and direction of the crash.</t>
  </si>
  <si>
    <t>average by 40%. In rural areas, this reduction was 76%. Research in the Netherlands showed that</t>
  </si>
  <si>
    <t>The long-term effectiveness of SFS in slowing drivers is questionable. Speed reductions from SFS are maintained only through short distances and therefore should not be considered a speed enforcement solution at a corridor level. SFS should be placed near the location of the intended speed
reduction.</t>
  </si>
  <si>
    <t>Applications for Arterial/Collector Streets</t>
  </si>
  <si>
    <t>Bike Phasing for Separated Bike Lanes [43]</t>
  </si>
  <si>
    <t>Upgrade older traffic signals to include phasing for separated bike lanes.</t>
  </si>
  <si>
    <t xml:space="preserve">CMF: 0.55 (Crash Type: bicycle)
</t>
  </si>
  <si>
    <t>YES - through grant funded capital improvements</t>
  </si>
  <si>
    <t>??</t>
  </si>
  <si>
    <t>[43] Rowley, Kendra, Lee Reis, Charles Alexander, Jesse Cohn, and Nathan Schmidt. “Safety Efficacy Confidence Levels for Bicycle Treatments.” The 6th International Cycling Safety Conference, 2017.</t>
  </si>
  <si>
    <t>Left Turn Traffic Calming [44][45]</t>
  </si>
  <si>
    <t>A ‘hardened centerline,’ slows left turning traffic and widens turning movement to protect pedestrians</t>
  </si>
  <si>
    <t>NYCDOT found in their study a 20 % reduction in average left turn speeds and an almost 80 percent reduction in crossing the double yellow line on left turns. In the Washington D.C. study, the centerline treatments was associated with a 70.5% reduction in conflicts between left-turning vehicles and pedestrians, a 9.8% reduction in mean left-turn speeds, and a 67.1% reduction in the odds of left-turning vehicles exceeding 15 mph. All the reductions were statistically significant.</t>
  </si>
  <si>
    <t>Develop a more systematic approach to left turn traffic calming, as left turns cause 4x the severe/fatal crashes as right turns</t>
  </si>
  <si>
    <t>New York City Department of Transportation (DOT) developed the Left Turn Pedestrian and
Bicycle Crash Study to advance New York City’s Vision Zero initiative to eliminate traffic
deaths and serious injuries. Between 2010 and 2014, 108 pedestrians and bicyclists were
killed by left turning vehicles (out of 859 pedestrian and bicyclist fatalities 2010-2014). In 2016, Mayor de Blasio prioritized the reduction of these failure to yield crashes, noting that left turns account for more than twice as many pedestrian and bicyclist fatalities as right turns and over three times as many serious injuries and fatalities.</t>
  </si>
  <si>
    <t>(ASVV, 1996). Kennedy et al (1998) found that the mean severity of accidents at mini-roundabouts</t>
  </si>
  <si>
    <t>Separated Bike Lanes [46][47][48][49]</t>
  </si>
  <si>
    <t>These are exclusive facilities for bicyclists that are distinct from the sidewalk and physically separated from motor vehicle traffic with a vertical element</t>
  </si>
  <si>
    <t>CMF N/A - In studies, separated bike lanes were generally associated with a decrease in total crashes</t>
  </si>
  <si>
    <t xml:space="preserve"> - Potential to accellerate or result in displacement 
+ Provides safer street infrastructure for communities that typically have less access to personal vehicles</t>
  </si>
  <si>
    <t>Meaningfully engage High Priority Communities in planning efforts to ensure equity-centered community planning. Collaborate across sectors to address related displacement concerns. Consider and mitigate construction impacts for projects on commercial corridors with small/minority-owned businesses.</t>
  </si>
  <si>
    <t>This report summarizes the results of the literature review conducted for the development of a Resource Guide for Separating Bicyclists from Traffic. The purpose of this literature review is to identify and evaluate existing guidance for separating bicyclists from traffic, identify common bikeways for separating bicyclists from traffic, summarize the relative safety impact on bicyclists for these bikeways, and identify and evaluate decision making strategies for selecting a bikeway considering potential tradeoffs.</t>
  </si>
  <si>
    <t>was much lower than at priority junctions or at signalised junctions.</t>
  </si>
  <si>
    <t>Separated bike lanes were generally associated with a decrease in total crashes and an increase in total bicycle crashes, however, when accounting for changes in bicycle volumes on facilities that provided sufficient pre- and post implementation bicycle volume data, the per capita crash rates for cyclists appeared to decrease in most facilities after separated bike lanes were installed.</t>
  </si>
  <si>
    <t xml:space="preserve">Pedestrian Refuge Islands and Medians [50][51] </t>
  </si>
  <si>
    <t>A pedestrian refuge, pedestrian island  is a small section of pavement or sidewalk, surrounded by asphalt or other road materials, where pedestrians can stop before finishing crossing a road.</t>
  </si>
  <si>
    <t>CMF: 0.742 (Crash type: all, urban and suburban) - 0.64 (Crash type: all, Crash severity: injury, fatal)</t>
  </si>
  <si>
    <t xml:space="preserve"> + Medians and refuge islands are especially helpful for people with disabilities and seniors that may require more time to cross the street</t>
  </si>
  <si>
    <t>[51] Bahar, Geni, M Parkhill, E Hauer, F Council, Bhagwant Persaud, Charles Zegeer, R Elvik, A Smiley, and B Scott. “Prepare Parts I and II of a Highway Safety Manual: Knowledge Base for Part II.” Unpublished Material from NCHRP Project, 2007, 17–27.</t>
  </si>
  <si>
    <t>Street Lighting [52][53]</t>
  </si>
  <si>
    <t>Increases roadway and intersection lighting to improve nighttime visibility</t>
  </si>
  <si>
    <t>CMF: 0.69  (Crash Type: Serious injury, minor injury, urban area) - 0.79 (Crash Type: all)</t>
  </si>
  <si>
    <t xml:space="preserve"> + Improved lighting, especially at the pedestrian scale, have the added benefit of improving perceptions of/actual personal safety</t>
  </si>
  <si>
    <t>Prioritize pedestrian scale lighting investments in High Priority Neighborhoods where crashes are related to poor lighting.</t>
  </si>
  <si>
    <t xml:space="preserve">Safe Streets for identifying locations, Electrical Services for implementation? </t>
  </si>
  <si>
    <t>Elvik, Rune, Truls Vaa, Alena Hoye, and Michael Sorensen. The Handbook of Road Safety Measures. Emerald Group Publishing, 2009.</t>
  </si>
  <si>
    <t>Harkey, David L., and National Cooperative Highway Research Program. Accident Modification Factors for Traffic Engineering and ITS Improvements. Transportation Research Board, 2008.</t>
  </si>
  <si>
    <t>Pedestrian Scrambles  [54][55][56][57]</t>
  </si>
  <si>
    <t>This is a type of traffic signal movement that temporarily stops all vehicular traffic, thereby allowing pedestrians to cross an intersection in every direction, including diagonally, at the same time.</t>
  </si>
  <si>
    <t>CMF: 0.65  - 34%–80% collision reduction</t>
  </si>
  <si>
    <t>In 2002 the city of Oakland, California, implemented a scramble signal at the intersection of 8th and Webster Streets. Scrambles are traffic signals that give pedestrians exclusive access to an intersection by stopping vehicular traffic on all approaches, allowing pedestrians to cross diagonally or conventionally</t>
  </si>
  <si>
    <t>Highlights
•Increasing cycle length and Barnes Dance reduce pedestrian crashes.
•Barnes Dance may potentially increase multiple vehicle crashes.
•Split phase timing and signal installation reduce pedestrian and vehicle crashes.
•Selection of countermeasures must balance benefits for various types of road users.</t>
  </si>
  <si>
    <t>[57] Campbell, Bob J, Charles V Zegeer, Herman H Huang, and Michael J Cynecki. “A Review of Pedestrian Safety Research in the United States and Abroad.” United States. Federal Highway Administration. Office of Safety, 2003.</t>
  </si>
  <si>
    <t>A pedestrian scramble (exclusive timing) scheme was effective, however, only at intersections with more than 1,200 pedestrians per day. Pedestrian scrambles can increase pedestrian and motorist delay and are most appropriate at downtown intersections with a combination of heavy pedestrian volumes, good pedestrian compliance, and low vehicle volumes.</t>
  </si>
  <si>
    <t>Protected Left Turn Signals [58]</t>
  </si>
  <si>
    <t>Any traffic signal indication (phase) giving left turns the right to enter the intersection free from conflict with drivers and pedestrians</t>
  </si>
  <si>
    <t>CMF 0.69  (Crash type: Vehicle/bicycle, Crash severity: All, Urban)</t>
  </si>
  <si>
    <t xml:space="preserve">Pedestrian Countdown Clocks [59][60[61] </t>
  </si>
  <si>
    <t xml:space="preserve">Timers showing seconds until signal change, used at signalized intersections </t>
  </si>
  <si>
    <t xml:space="preserve">CMF: 0.3 - 0.85 (Crash severity: All) </t>
  </si>
  <si>
    <t>[60] Kwigizile, Valerian, Richard Atta Boateng, Jun-Seok Oh, and Kimberly Lariviere. “Evaluating the Effectiveness of Pedestrian Countdown Signals on the Safety of Pedestrians in Michigan,” 2016.</t>
  </si>
  <si>
    <t>[61] Van Houten, Ron, and John LaPlante. “Evaluating Pedestrian Safety Improvements,” 2012.</t>
  </si>
  <si>
    <t>Leading Pedestrian Intervals [62]</t>
  </si>
  <si>
    <t>A leading pedestrian interval (LPI) gives pedestrians the opportunity to enter an intersection 3-7 seconds before vehicles are given a green indication. With this head start, pedestrians can better establish their presence in the crosswalk before vehicles have priority to turn left.</t>
  </si>
  <si>
    <t>CMF: 0.87 (Crash Type:  All - urban and suburban areas)</t>
  </si>
  <si>
    <t>Mast Arms [63]</t>
  </si>
  <si>
    <t>A bracket attachment to a pole from which a signal is suspended over an intersection</t>
  </si>
  <si>
    <t>CMF 0.51 (Crash type: All, Crash severity: All) Study of medium quality</t>
  </si>
  <si>
    <t>This guide provides a single, comprehensive document with methods for evaluating the safety and operations of signalized intersections and tools to remedy deficiencies</t>
  </si>
  <si>
    <t>Time Traffic Signal to Slow Vehicle Progression [64][65]</t>
  </si>
  <si>
    <t>Signalized intersections within a traffic networks are timed to reduce vehicular speed at consecutive intersections</t>
  </si>
  <si>
    <t>CMF: 0.63 - 0.93 (Crash type: all, pedestrian &amp; bicycle)</t>
  </si>
  <si>
    <t>The purpose of this study was to estimate potential crash effects of modifying the duration of traffic signal change intervals to conform with values associated with a proposed recommended practice published by the Institute of Transportation Engineers. A sample of 122 intersections was identified and randomly assigned to experimental and control groups. Of 51 eligible experimental sites, 40 (78%) needed signal timing changes. For the 3-year period following implementation of signal timing changes, there was an 8% reduction in reportable crashes at experimental sites relative to those occurring at control sites (P=0.08). For injury crashes, a 12% reduction at experimental sites relative to those occurring at control sites was found (P=0.03). Pedestrian and bicycle crashes at experimental sites decreased 37% (P=0.03) relative to controls.</t>
  </si>
  <si>
    <t>One way to improve safety of signalized arterials is to optimize signal timings. Historically, signal retiming tools were used to reduce traffic delay and stops and other measures of traffic efficiency. The concept of optimizing signal timings specifically to improve safety metrics, or their surrogate measures, is not common in current signal timing optimization practice. This study advocates a fresh approach to integrating VISSIM microsimulation software, SSAM, and
VISGAOST for optimizing signal timings to reduce surrogate safety measures and thereby reduce risks of potential real-world crashes. When compared to initial signal timings, the estimated number of conflicts is decreased by 7%, while throughput was almost maintained at the initial level. When compared to the signal timing plan with the best PI, number of conflicts was reduced by 9% while PI remained almost the same</t>
  </si>
  <si>
    <t xml:space="preserve">Applications for Residential Streets </t>
  </si>
  <si>
    <t>Raised Crosswalks [66][67]</t>
  </si>
  <si>
    <t>Similar to speed humps, but with a flat raised-crosswalk section to slow vehicles at an area of conflict.</t>
  </si>
  <si>
    <t>CMF: 0.55 (Crash type: all)</t>
  </si>
  <si>
    <t>Elevated crosswalk make pedestrians more prominent in the driver's field of vision.</t>
  </si>
  <si>
    <t>[67] Bahar, Geni, M Parkhill, E Hauer, F Council, Bhagwant Persaud, Charles Zegeer, R Elvik, A Smiley, and B Scott. “Prepare Parts I and II of a Highway Safety Manual: Knowledge Base for Part II.” Unpublished Material from NCHRP Project, 2007, 17–27.</t>
  </si>
  <si>
    <t>Speed Humps [68]</t>
  </si>
  <si>
    <t xml:space="preserve">The common name for a family of traffic calming devices that use vertical deflection to slow motor-vehicle traffic </t>
  </si>
  <si>
    <t>CMF: 0.60 - 0.50 (Crash types: Serious injury, Minor injury, Urban and Suburban)</t>
  </si>
  <si>
    <t>YES - on a request basis only</t>
  </si>
  <si>
    <t>Proactively install speed humps around vulnerable areas, such as school zones, senior zones, and land uses serving people with disabilities, especially in High Priority Neighborhoods.</t>
  </si>
  <si>
    <t>[68] Elvik, Rune, Truls Vaa, Alena Hoye, and Michael Sorensen. The Handbook of Road Safety Measures. Emerald Group Publishing, 2009.</t>
  </si>
  <si>
    <t>Stop Signs [69]</t>
  </si>
  <si>
    <t>Install stop signs at alternate intersections in residential areas</t>
  </si>
  <si>
    <t>CMF: 0.45-0.28 (Crash Type: all, Crash Severity: all, Area Type: Urban)</t>
  </si>
  <si>
    <t>[69] Sayed, Tarek, Karim El-Basyouny, and John Pump. “Safety Evaluation of Stop Sign In-Fill Program.” Transportation Research Record 1953, no. 1 (2006): 201–10.</t>
  </si>
  <si>
    <t xml:space="preserve">This paper describes a project undertaken to evaluate the safety impacts associated with the Stop Sign In-Fill (SSIF) program. The SSIF program was launched by the Insurance Corporation of British Columbia (Canada) in 1998 and consists of installing stop signs alternately at every second intersection in residential neighborhoods in the Greater Vancouver Regional District. The main objective of the program is to reduce the frequency and severity of collisions and thereby reduce insurance claims costs in addition to providing a traffic-calming effect on residential neighborhoods. The evaluation included a time series analysis to investigate the effectiveness of the SSIF program on road safety performance at 380 intersections. </t>
  </si>
  <si>
    <t>Sharrow Markings [70][71][72]</t>
  </si>
  <si>
    <t>A shared lane marking is a pavement marking consisting of a conventional bicycle symbol with a double chevron and/or paing infill to indicate where people should preferably cycle.</t>
  </si>
  <si>
    <t>The results of this report indicate that sharrows increase operating space for bicyclists, higher rates of yielding to cyclists, and less conflict between cyclists and motorists.</t>
  </si>
  <si>
    <t>[71] DiGioia, Jonathan, Kari Edison Watkins, Yanzhi Xu, Michael Rodgers, and Randall Guensler. “Safety Impacts of Bicycle Infrastructure: A Critical Review.” Journal of Safety Research 61 (2017): 105–19.</t>
  </si>
  <si>
    <t>Sharrows can be used in a variety of situations, and increased use should enhance motorist awareness of bicyclists or the possibility of bicyclists in the traffic stream. Results indicate that sharrows increased operating space for bicyclists. Sharrows have reduced sidewalk riding as well.</t>
  </si>
  <si>
    <t>ENFORCEMENT</t>
  </si>
  <si>
    <t>Automated Speed Enforcement [73][74][75][76]</t>
  </si>
  <si>
    <t>Automated speed enforcement slows speeds by using fixed or mobile cameras and other equipment to detect and capture images of vehicles traveling at dangerous speeds</t>
  </si>
  <si>
    <t>CMF: 0.73 - 0.37 (Crash type: All,  Urban Area).</t>
  </si>
  <si>
    <t>- Increased ticketing can result in a disproportionate burden on low-income people
+ Automated enforcement eliminates human racial biases 
+/- The location of cameras can advance or hinder equity</t>
  </si>
  <si>
    <t>• Clearly placed signs to notify public of speed enforcement and equitable strategy for camera placement
• Graduated/tiered fines for traffic violations, so that low-income people are not disproportionately burdened
• Jurisdictions in California are considering making traffic tickets 'non-moving violations' to keep fees low;  this also can prevent the need for any photography of the drivers' face to further prevent bias
• Warning phase to allow for behavior change prior to financial penalties</t>
  </si>
  <si>
    <t>Present data findings to City Council and relevant public committees and establish a Citywide position to inform State advocacy</t>
  </si>
  <si>
    <t>Policy, OPD</t>
  </si>
  <si>
    <t>[73]Li, Haojie, Daniel J. Graham, and Arnab Majumdar. “The Impacts of Speed Cameras on Road Accidents: An Application of Propensity Score Matching Methods.” Accident Analysis &amp; Prevention 60 (November 1, 2013): 148–57. https://doi.org/10.1016/j.aap.2013.08.003.</t>
  </si>
  <si>
    <t>This paper aims to evaluate the impacts of speed limit enforcement cameras on reducing road accidents in the UK by accounting for both confounding factors and the selection of proper reference groups. A total of 771 sites and 4787 sites for the treatment and the potential reference groups respectively are observed for a period of 9 years in England. Both the PSM and the EB methods show similar results that there are significant reductions in the number of accidents of all severities at speed camera sites. It is suggested that the propensity score can be used as the criteria for selecting the reference group in before-after control studies. Speed cameras were found to be most effective in reducing accidents up to 200 meters from camera sites and no evidence of accident migration was found.</t>
  </si>
  <si>
    <r>
      <t xml:space="preserve">[74] </t>
    </r>
    <r>
      <rPr>
        <u/>
        <sz val="11"/>
        <color rgb="FF000000"/>
        <rFont val="Arial"/>
      </rPr>
      <t>Shin, Kangwon, Simon P. Washington, and Ida van Schalkwyk. “Evaluation of the Scottsdale Loop 101 Automated Speed Enforcement Demonstration Program.” Accident Analysis &amp; Prevention 41, no. 3 (May 1, 2009): 393–403. https://doi.org/10.1016/j.aap.2008.12.011.</t>
    </r>
  </si>
  <si>
    <t>"Nations that have seen dramatic improvements in roadway safety over the past few decades credit this progress, in large part, to their use of automated enforcement, or safety cameras. While cameras can be backend enforcement tools, they also encourage safe behavior on the front-end. There is widespread public support for safety camera use in Europe and evidence of their positive impact on safe behavior."</t>
  </si>
  <si>
    <t>There is a growing body of evidence to suggest a number of road safety benefits associated with average speed enforcement, including high rates of compliance with speed limits, reductions in average and 85th percentile speeds and reduced speed variability between vehicles. Moreover, the approach has been demonstrated to be particularly effective in reducing excessive speeding behaviour. Reductions in crash rates have also been reported in association with average speed enforcement, particularly in relation to fatal and serious injury crashes.</t>
  </si>
  <si>
    <t>Red Light Automated Enforcement [77][78][79]</t>
  </si>
  <si>
    <t>Red-light cameras take photographs of vehicles entering intersections after the traffic signal has turned red.</t>
  </si>
  <si>
    <t>CMF: 0.63 - 0.53 (Crash Type: Angle, Urban area)</t>
  </si>
  <si>
    <t xml:space="preserve"> - Increased ticketing can result in a disproportionate burden on low-income people. 
+ Automated enforcement reduces the chance of racial bias and escalation by removing human interaction.
+/- The location of cameras can advance or hinder equity</t>
  </si>
  <si>
    <t>• Clearly placed signs to notify public of cameras and equitable strategy for camera placement
• Warning phase to allow for behavior change prior to financial penalties
• Graduated/tiered fines for traffic violations, so that low-income people are not disproportionately burdened
• Some jurisdictions are considering making traffic tickets 'non-moving violations' to lower ticket fees; this also can prevent the need for any photography of the drivers' face to further prevent bias</t>
  </si>
  <si>
    <t>Present research on efficacy, summary of why program was ended, and whether we're able to address those and other equity concerns to City Council and relevant public bodies to consider whether it would be beneficial to restart the program.</t>
  </si>
  <si>
    <t>Policy, Safe Streets, OPD</t>
  </si>
  <si>
    <t>[77] Ko, Myunghoon, Srinivas Reddy Geedipally, Troy Duane Walden, and Robert Carl Wunderlich. “Effects of Red Light Running Camera Systems Installation and Then Deactivation on Intersection Safety.” Journal of Safety Research 62 (September 1, 2017): 117–26. https://doi.org/10.1016/j.jsr.2017.06.010.</t>
  </si>
  <si>
    <t>"Automated speed enforcement (ASE) has been in use worldwide and its effects on traffic speeds and crashes has been studied for more than two decades. ASE has proven to be an effective countermeasure to reduce speed-related crashes and injuries."</t>
  </si>
  <si>
    <t>Speed enforcement has been proven to reduce fatal crashes by up to 70%.</t>
  </si>
  <si>
    <t>High Visibility Enforcement [80][81][82][83]</t>
  </si>
  <si>
    <t>Law enforcement efforts targeting a specific behavior combined with visibility elements and a publicity strategy to educate the public and promote voluntary compliance with the law.</t>
  </si>
  <si>
    <t>Studies show reductions in driver speeds during HVE enforcement. The SF speed campaign found a 5% reduction in 85th percentile speeds during enforcement. Reductions began to diminish one week post-enforcement. There was not a lasting effect of the HVE campaign once it ended.</t>
  </si>
  <si>
    <t xml:space="preserve"> - Increased ticketing can result in a disproportionate burden on low-income people. 
+ High Visibility Enforcement generally gives people an opportunity to change their behavior prior to the enforcement zone
- Interactions between officers and people of color can escalate
+ Enforcement targeting specific behaviors helps minimize implicit bias
+ Consider where deployment takes place</t>
  </si>
  <si>
    <t>• Use of automated enforcement over officer initiated enforcement
• Graduated/tiered fines for traffic violations, so that low-income people are not disproportionately burdened</t>
  </si>
  <si>
    <t>Enforcement campaigns can be effective in the short-term but have not been proven to incite lasting behavior change. They are most effective when paired with engineering upgrades to infrastructure</t>
  </si>
  <si>
    <t>Reductions in driver speeds during HVE enforcement began to diminish one week post-enforcement. There was not a lasting effect of the HVE campaign once it ended. This points to the importance of regular, sustained enforcement to achieve lower vehicle speeds.</t>
  </si>
  <si>
    <t>This paper examines the effectiveness of a citywide targeted enforcement program implemented in eight cities. In this program, enforcement agencies focused on intersection traffic control violations and used a heightened level of enforcement relative to that otherwise employed. The program was sustained for a period that ranged from several months to 2 years and was coupled with a public awareness campaign. The results of the analysis revealed that crashes related to red light running were reduced by 6.4% during program implementation.</t>
  </si>
  <si>
    <t>A driver-yielding enforcement program that included decoy pedestrians, feedback ﬂyers,written and verbal warnings, and saturation enforcement for a 2-week period was evaluated in the city of Miami Beach using a multiple baseline design. During baseline, data were collected at crosswalks along two major corridors. Treatment was introduced ﬁrstat selected crosswalks without trafﬁc signals along one corridor. A week later, enforcement was shifted to crosswalks along the second corridor. Results indicated that the percentage of drivers yielding to pedestrians increased following the introduction of the enforcement program in each corridor and that these increases were sustained for a period of a year with minimal additional enforcement</t>
  </si>
  <si>
    <t>Driving Under the Influence Checkpoints [84]</t>
  </si>
  <si>
    <t>A type of high visibility enforcement that requires all vehicles travelling through a corridor to be checked for drunk driving</t>
  </si>
  <si>
    <t>Crashes are reduced by about 10–15%</t>
  </si>
  <si>
    <t>YES - 4 per year</t>
  </si>
  <si>
    <t xml:space="preserve"> - Can result in anxiety for the public and harm relationship between community and police</t>
  </si>
  <si>
    <t>Consider other strategies for DUI enforcement that don't create roadway blockades such as targeting areas around bars and complement strategies with programming to encourage people to take alternative rides home.</t>
  </si>
  <si>
    <t>The results indicate that crashes involving alcohol are reduced by 17% at a minimum and that all crashes, independent of alcohol involvement, are reduced by about 10–15%. In a moderator analysis the effects of a number of factors that may affect the effectiveness of DUI-checkpoints were investigated by means of subgroup analyses and meta-regression. Those moderator variables that were found to be most relevant, are the time period studied, country, and study design. DUI-checkpoints were found to be most effective during the first half year. Smaller crash reductions were found in studies that have applied a control group than in other studies. Testing all drivers who are stopped at a checkpoint may improve the effectiveness of DUI-checkpoints. The results do not indicate that DUI-checkpoints have greater effects on more severe crashes or that the use of paid publicity improves the effectiveness</t>
  </si>
  <si>
    <r>
      <rPr>
        <b/>
        <sz val="11"/>
        <rFont val="Arial"/>
      </rPr>
      <t>Standard Traffic Enforcement Against Dangerous Moving Violations</t>
    </r>
    <r>
      <rPr>
        <sz val="11"/>
        <color theme="1"/>
        <rFont val="Arial"/>
      </rPr>
      <t xml:space="preserve"> [85][86][87][88]</t>
    </r>
  </si>
  <si>
    <t>Organized operations that aim to stop specific behaviors based on data: speeding, failing to yield to pedestrians, signal violations, improper turns/illegal turns, phoning/texting while driving</t>
  </si>
  <si>
    <t>YES - approximately 75 operations annually</t>
  </si>
  <si>
    <t xml:space="preserve"> - Increased ticketing can result in a disproportionate burden on low-income people. 
- Interactions between officers and people of color can escalate
+ Enforcement targeting specific behaviors helps minimize implicit bias</t>
  </si>
  <si>
    <t>• Conduct High Visibility Enforcement or use Automated Enforcement whenever feasible
• Graduated/tiered fines for traffic violations, so that low-income people are not disproportionately burdened</t>
  </si>
  <si>
    <t>Increases in fixed penalties are associated with less traffic offenses. However, in most studies reviewed confounding factors are not well accounted for and thus do not necessarily support a causal interpretation.</t>
  </si>
  <si>
    <t xml:space="preserve">This article looks at mass layoff of the Oregon State Police due to budget cuts and finds layoffs associated with a marked increase in traffic collision injuries and fatalities. </t>
  </si>
  <si>
    <t>We study the impact on road safety of one-day massive speed limit monitoring operations (SLMO) accompanied by media campaigns that announce the SLMO and provide information on the dangers of speeding. Using register data on the universe of police reported accidents in a generalized difference-in-differences approach, we find that SLMO reduce traffic accidents and casualties by eight percent. Yet, immediately after the SLMO day, all effects vanish. Further evidence suggests that people drive more slowly and responsibly on SLMO days to avoid fines; providing information on the dangers of speeding does not alter driving behavior in a more sustainable way.</t>
  </si>
  <si>
    <t>This paper examines the effectiveness of a citywide targeted enforcement program implemented in eight cities. In this program, enforcement agencies focused on intersection traffic control violations and used a heightened level of enforcement relative to that otherwise employed. The program was sustained for a period that ranged from several months to 2 years and was coupled with a public awareness campaign. The results of the analysis revealed that crashes related to red light running were reduced by 6.4% during program implementation. The effectiveness of this type of officer enforcement program was found to be similar to that of camera (or automated) enforcement. [This study does not look at efficacy over time or after the intervention stopped]</t>
  </si>
  <si>
    <t>Individual Enforcement [89]</t>
  </si>
  <si>
    <t xml:space="preserve">Measures focused on correcting individual dangerous driving behavior such as warning letters, group meetings, individual hearings, and license suspension/revocation. </t>
  </si>
  <si>
    <t xml:space="preserve">In the study cited these measures reduce crash rates from 4%-17% </t>
  </si>
  <si>
    <t>Crash and traffic violation standardized effect sizes (d) representing 106 individual interventions were coded from 35 methodologically sound studies and analyzed using meta-analysis. Distributing educational or informational material was not associated with any reductions. Significant effects were found on both measures for warning letters, group meetings, individual hearings, and license suspension/revocation. Of the driver improvement interventions studied, license suspension/revocation was by far the most effective treatment for both crashes and violations</t>
  </si>
  <si>
    <t>General Traffic Enforcement [90]</t>
  </si>
  <si>
    <t>Ad hoc operations based on community complaints, or officers ticketing drivers when illegal behaviors are observed</t>
  </si>
  <si>
    <t>The study cited finds that a decrease in enforcement is associated with an increase in injuries and deaths  on highways in Oregon.</t>
  </si>
  <si>
    <t>YES - But Oakland PD is reducing their focus on pulling people over for low-level infractions such as a broken tail lights</t>
  </si>
  <si>
    <t>- General enforcement in Oakland has been correlated with a disproportionate ticketing of Black Oaklanders</t>
  </si>
  <si>
    <t>• Prioritize infrastructure upgrades in high priority neighborhoods that encourage safe behavior in the first place
• Focus on strategies that are more effective at improving traffic safety while also reducing the opportunity for implicit or explicit biases</t>
  </si>
  <si>
    <t>Simultaneity complicates the estimation of the causal effect of police on crime. We overcome this obstacle by focusing on a mass layoff of Oregon State Police in February of 2003. Due solely to budget cuts, 35 percent of the roadway troopers were laid off, which dramatically reduced citations. The subsequent decrease in enforcement is associated with a significant increase in injuries and fatalities. The effects are similar using control groups chosen either geographically or through data-driven methods. .</t>
  </si>
  <si>
    <t>Crossing Guards [91][92]</t>
  </si>
  <si>
    <t xml:space="preserve">The presence of school crossing guards has been associated with more walking, however, the research on if crossing guards reduce numbers of pedestrian-motor vehicle collisions is unclear. </t>
  </si>
  <si>
    <t xml:space="preserve">Crossing guards have a protective effect (unquantified) for children on site and during school hours. They are not protective at other places and times. </t>
  </si>
  <si>
    <t>- Children and the elderly are at increased risk when walking.
+ Crossing guards are commonly placed around schools. Locations serving or trafficked by seniors should also be considered.</t>
  </si>
  <si>
    <t xml:space="preserve">Crossing guards should be prioritized in High Priority Neighborhoods along the High Injury Network.   </t>
  </si>
  <si>
    <t>Consider investing some of these resources into Slow School Zones</t>
  </si>
  <si>
    <t>School crossing guards are a simple roadway modification to increase walking to school without apparent detrimental safety effects. Other more permanent interventions are necessary to address the frequency of child pedestrian-motor vehicle collisions occurring away from the location of crossing guards, and outside of school travel times.</t>
  </si>
  <si>
    <t>[92] Gutierrez, Carolina Marinovic, Derek Slagle, Kristian Figueras, Anabel Anon, Anne Corinne Huggins, and Gillian Hotz. “Crossing Guard Presence: Impact on Active Transportation and Injury Prevention.” Journal of Transport &amp; Health 1, no. 2 (June 1, 2014): 116–23. https://doi.org/10.1016/j.jth.2014.01.005.</t>
  </si>
  <si>
    <t xml:space="preserve">Study findings show that increased crossing guard presence is most likely to influence safe behavior as indicated by the increased numbers of children engaging in predictable pedestrian behaviors through their use of supervised routes. </t>
  </si>
  <si>
    <t>Double Parking Enforcement [93][94]</t>
  </si>
  <si>
    <t xml:space="preserve">Enforcing illegal double parking violations, especially in bike lanes. </t>
  </si>
  <si>
    <t>Studies inconclusive about effect on crash reduction. Restricting deliveries to off-hours might help reduce illegal double parking.</t>
  </si>
  <si>
    <t xml:space="preserve"> - Increased ticketing can result in a disproportionate burden on low-income people.
</t>
  </si>
  <si>
    <t>A study in New York City found that bicyclists had conflicts with passenger cars everywhere, but conflicts with freight (double parked delivery vehicles in bike lanes) were more likely to occur where retail stores were concentrated.</t>
  </si>
  <si>
    <t>"Most studies in the literature only provide insights into policy and economic aspects of double parking."</t>
  </si>
  <si>
    <t>EDUCATION</t>
  </si>
  <si>
    <t>Youth Education [95][96][97]</t>
  </si>
  <si>
    <t>Trainings in schools to educate students on bike/pedestrian/traffic safety</t>
  </si>
  <si>
    <t>Crash reduction: 20% and below- Youth education programs have been shown to reduce pedestrian injuries but results varies widely from study to study and alone, such programs have modest and limited benefit.</t>
  </si>
  <si>
    <t>Safe Streets, ACTC, OUSD, ACPHD</t>
  </si>
  <si>
    <t>Youth education programs do reduce pedestrian injuries but alone, such programs have modest and limited benefit. They are useful when paired with their interventions.</t>
  </si>
  <si>
    <t>Mass Media/Communication Education Campaigns [98][99][100][101][102]</t>
  </si>
  <si>
    <t>Typically focuses on pedestrian awareness, bike safety, and/or speeding</t>
  </si>
  <si>
    <t xml:space="preserve">Crash reduction ranges from 3% - 20% - Data measuring efficacy is limited, varies widely, and is inconsistent. Alone, campaigns  targeted at road crashes in general or at pedestrian crashes have had no effect, but seat belt campaigns and drink-driving campaigns have been effective. Best when coupled with high visibility enforcement. </t>
  </si>
  <si>
    <t>Potential to reach large audiences but messages must be crafted with an anti-racist frame</t>
  </si>
  <si>
    <t>Literature on the effectiveness (or otherwise) of promoting road safety via mass media advertising is selectively reviewed. The overall picture from this is inconclusive: effects of substantial size have been rare, but effects of small size cannot be ruled out. It is then argued that attempts to use crash data to establish or disprove the cost-effectiveness of campaigns are, indeed, doomed to failure: the random variability in crash numbers is too great (and even low effectiveness may be sufficient as campaigns are very cheap per person reached).</t>
  </si>
  <si>
    <t>[99] Shahum, Leah. “Communications Strategies to Advance Vision Zero,” June 13, 2016. https://visionzeronetwork.org/communications-strategies-to-advance-vision-zero/.</t>
  </si>
  <si>
    <t>NYC and SF have conducted safety awareness campaigns to change diving behavior. SF reported a 3% change in behavior in driver yielding a year after the campaign was launched.</t>
  </si>
  <si>
    <t>Campaigns targeted at road crashes in general or at pedestrian crashes have had no effect, but seat belt campaigns and drink-driving campaigns have been effective</t>
  </si>
  <si>
    <t>Reduces crashes by 9% on average (from a 2017 review of traffic safety campaigns in 12 countries)</t>
  </si>
  <si>
    <t>[102] Wang, Baojin, and Julieta Legaspi. “Methodologies Used for Economic Appraisals of Road Safety Educational or Informational Campaign Programs in NSW,” 2016.</t>
  </si>
  <si>
    <t>Individual Education [103][104][105]</t>
  </si>
  <si>
    <t>This may include safety trainings for seniors and other priority populations.</t>
  </si>
  <si>
    <t xml:space="preserve">Interventions can be effective when targeting specific groups, such as seniors. However, many studies focus on behavior change and do not measure education programs' effects on crash reduction. </t>
  </si>
  <si>
    <t>An intervention involving tailored driving lessons was compared to a classroom based education program using a randomised controlled trial. The tailored driving lessons reduced the critical errors that older drivers made on an on-road test. This research demonstrates that driving lessons that target key weakness in driving skill can improve older driver safety. The intervention group had 64% remediation of unsafe driving, where drivers who achieved a score of ‘fail’ at baseline, ‘passed’ at follow-up. The control group had 25% remediation.</t>
  </si>
  <si>
    <t>Youth education programs can reduce pedestrian injuries but alone, such programs have modest and limited benefit. They are useful when paired with other interventions.</t>
  </si>
  <si>
    <t>Risky driving behavior is one of the main causes of commercial vehicle related crashes.  Behavior-Based Safety (BBS) education is a popular approach found effective by numerous studies, but even this approach varies as to the combination of frequency, mode and content used by different education providers. This study therefore evaluates and compares the effectiveness of BBS education methods. thirty-five drivers in Shanghai, China, were coached with one of three different BBS education methods for 13 weeks following a 13-week baseline phase with no education. Results show that BBS education was confirmed to be effective in safety-related event reduction.</t>
  </si>
  <si>
    <t xml:space="preserve">Helmet Focused Education [106][107] </t>
  </si>
  <si>
    <t>Promote the use of helmets through education initiatives</t>
  </si>
  <si>
    <t>Interventions can be effective when targeting specific groups, such a adolescents. However, many studies focus on behavior change and do not measure education programs' effects on crash-related injury and fatality reduction.</t>
  </si>
  <si>
    <t>Target education towards populations most at risk for low helmet use (youth and bicyclists from low-income neighborhoods)</t>
  </si>
  <si>
    <t>[107] Buckley, Lisa, Mary Sheehan, and Rebekah Chapman. “Bicycle Helmet Wearing among Adolescents: Effectiveness of School-Based Injury Prevention Countermeasure.” Transportation Research Record 2140, no. 1 (January 1, 2009): 173–81. https://doi.org/10.3141/2140-19.</t>
  </si>
  <si>
    <t>The findings are presented of a study conducted in Australia that examined the effectiveness of a theory-based injury prevention program, for ninth-grade students (age 13 to 14 years). The findings showed a significant, 20.2% decrease in cycling without a helmet among the intervention students (n = 360) and no change for the students in the comparison group (n = 363) after 6 months.</t>
  </si>
  <si>
    <t>Train City Staff and Officers [108][109]</t>
  </si>
  <si>
    <t>Regular trainings on transportation safety priorities</t>
  </si>
  <si>
    <t>Effective transportation safety initiatives usually have high degrees of collaboration from police, planners, public health professionals, and policy-makers. Conducting regular trainings and meetings to to align priorities and make data-based decisions is recommended</t>
  </si>
  <si>
    <t>- Silos and lack of collaboration between police, planners, public health professionals, and policy-makers can make it difficult for communities to engage effectively with all parties responsible for transportation safety</t>
  </si>
  <si>
    <t>Conduct regular trainings and meetings to to align priorities and make equity/data-based decisions and policy with community engagement ​</t>
  </si>
  <si>
    <t>We evaluate one of the primary components of the Vision Zero NYC action plan, a speed limit reduction from 30 to 25 mph applied to the 86% of the population of NYC streets which had no posted speed limit. The difference-in-differences results suggest that the speed limit reduction increased traffic safety in New York City. In particular, we find a 38.7% decline in casualties and a 35.8% reduction in crashes on treated streets relative to the remaining population of streets.</t>
  </si>
  <si>
    <t>Conner, Marco. “Traffic Justice: Achieving Effective and Equitable Traffic Enforcement in the Age of Vision Zero Colloquium: Getting There from Here: An Exploration of Regionalism and Transportation in the United States.” Fordham Urban Law Journal 44, no. 4 (2017): 969–1004. https://heinonline.org/HOL/P?h=hein.journals/frdurb44&amp;i=997.</t>
  </si>
  <si>
    <t>Website [110]</t>
  </si>
  <si>
    <t>To promote safety education,  a public website can provide information on bike, pedestrian, and general traffic safety issues and city interventions</t>
  </si>
  <si>
    <t xml:space="preserve">Publicly available information can promote government transparency, informing citizens of key decisions and the reasons behind them to actively engage constituents </t>
  </si>
  <si>
    <t xml:space="preserve">- Not all residents have internet and computer access. </t>
  </si>
  <si>
    <t>Hold regular public meetings where progress updates are provided, including updates to official City bodies.</t>
  </si>
  <si>
    <t>Ensure that the public can monitor progress toward goals by publishing websites that clearly articulates the number of severe and fatal injuries, progress toward reducing injury inequities, project delivery status, and relevant enforcement citation data.</t>
  </si>
  <si>
    <t>Open data maps are a new form of impression management; they set up a relationship in which government and citizens are in alignment, sharing an orientation towards administrative problems that begins at the same point, framed by an administration’s datasets.</t>
  </si>
  <si>
    <t xml:space="preserve">PLANNING, MONITORING, ANALYSIS, AND EVALUATION </t>
  </si>
  <si>
    <t>Comprehensive Traffic Safety Plans [111][112]</t>
  </si>
  <si>
    <t>Safe Routes to School (SRTS) is an approach that promotes walking and bicycling to school through infrastructure improvements, enforcement, safety education, and incentives to encourage safe walking and bicycling to school.</t>
  </si>
  <si>
    <t>CMF: 0.56 and below. Various studies show significant injury reductions for diverse age groups and at varying times of day.</t>
  </si>
  <si>
    <t>YES - when programs include engineering interventions</t>
  </si>
  <si>
    <t>[111] Ragland, David R, Swati Pande, John Bigham, and Jill F Cooper. “Ten Years Later: Examining the Long-Term Impact of the California Safe Routes to School Program,” 2014.</t>
  </si>
  <si>
    <t xml:space="preserve">California was the first state to legislate a Safe Routes to School (SR2S) program under Assembly Bill AB 1475 (1999). SR2S funds construction projects that make it safer for children to walk/bicycle to school and encourage a greater number of children to choose these modes of travel for the school commute. The main goal of this project was to assess the long-term impact of program-funded engineering modifications on walking/bicycling levels and on safety. Evaluation of improvements was determined using a targeted method of determining the countermeasures to result in safety and mode shift. Major results indicate that safety of pedestrians increased within 250 feet of an infrastructure improvement, such as a sidewalk. </t>
  </si>
  <si>
    <t>Using geocoded motor vehicle crash data for 168 806 pedestrian injuries in New York City between 2001 and 2010, annual pedestrian injury rates per 10 000 population were calculated for different age groups and for census tracts with and without SRTS interventions during school-travel hours (defined as 7 am to 9 am and 2 pm to 4 pm, Monday through Friday during September through June).
Results: During the study period, the annual rate of pedestrian injury decreased 33% (95% confidence interval [CI]: 30 to 36) among school-aged children (5- to 19-year-olds) and 14% (95% CI: 12 to 16) in other age groups. The annual rate of school-aged pedestrian injury during school-travel hours decreased 44% (95% CI: 17 to 65) from 8.0 injuries per 10 000 population in the preintervention period (2001–2008) to 4.4 injuries per 10 000 population in the postintervention period (2009–2010) in census tracts with SRTS interventions.</t>
  </si>
  <si>
    <t>Data Sharing, Analysis, and Evaluation [113][114][115]</t>
  </si>
  <si>
    <t xml:space="preserve">Internal and interagency sharing and comparing of collision and other key data to evaluate the effectiveness of traffic safety interventions and programs.  </t>
  </si>
  <si>
    <t>All effective safety improvements require accurate and consistent data sharing and collaboration</t>
  </si>
  <si>
    <t>- Not all agencies will have the same equity frameworks and applications</t>
  </si>
  <si>
    <t xml:space="preserve">Create a shared definition and protocol for equity to ensure compatible data  </t>
  </si>
  <si>
    <t>[113] SFDPH, San Francisco’s Vision Zero High Injury Network: 2017 Update (2017), 2</t>
  </si>
  <si>
    <t>The San Francisco Department of Public Health spearheaded an effort to develop the Transportation-related Injury Surveillance System (TISS). In 2017, San Francisco was the first city in the country to use the resulting linked data to update its High Injury Network (HIN) and analyze spatial patterns of severe and fatal injuries. With this more robust data, San Francisco was able to identify locations of unreported traffic injuries, better capture injury severity, and focus its HIN on the most severe outcomes. "It is also important to link social and environmental factors with injury data to identify points of intervention and vulnerability"</t>
  </si>
  <si>
    <t>[114] Transportation Safety Planning and the Zero Deaths Vision: A Guide for Metropolitan Planning Organizations and Local Communities (2018)</t>
  </si>
  <si>
    <t>The U.S. Department of Transportation a guide for Vision Zero planning, written in collaboration with select cities, MPOs, and counties - showing a commitment to promoting this approach. The guide includes equity considerations</t>
  </si>
  <si>
    <t>Interagency data sharing is recommended in this manual, which provides practical guidance for establishing data systems that will improve measurement of a country's road traffic injury problem, facilitate selection of evidence-based interventions, and allow for better evaluation of progress.</t>
  </si>
  <si>
    <t>Data Surveillance [116][117][118]</t>
  </si>
  <si>
    <t>Traffic-related hospitalizations and fatalities are tracked and analyzed</t>
  </si>
  <si>
    <t>All effective safety improvements require accurate and consistent data gathering</t>
  </si>
  <si>
    <t>YES - and requires collaboration</t>
  </si>
  <si>
    <t>TransBASESF.org is a geospatially enabled analytics database developed by the San Francisco, California, Department of Public Health and used to analyze, evaluate, monitor, and communicate transportation safety issues in San Francisco.</t>
  </si>
  <si>
    <t>[117] Achieving Vision Zero: Data-Driven Investment Strategy to Eliminate Pedestrian Fatalities on a Citywide Level (2019)</t>
  </si>
  <si>
    <t>In SF, A team of planners, engineers, and epidemiologists examined longitudinal pedestrian collision data to identify the major factors that corresponded with pedestrian– vehicle crashes in San Francisco to guide capital investment planning</t>
  </si>
  <si>
    <t xml:space="preserve"> Improving road safety in California and the US requires addressing not only the dominance of automobiles, but also recognizing that sectors outside of, but related to transportation, such as housing, public health, and land use planning, need to be key participants in creating a safe road transportation system.</t>
  </si>
  <si>
    <t>Partnerships between Transportation Leaders and Police Departments [119][120][121]</t>
  </si>
  <si>
    <t>Collaborative work can include reviewing traffic safety performance, determining strategies for improvement, and jointly implementing new campaigns and policies.</t>
  </si>
  <si>
    <t>Best practice recommendations for safe transportation system creation include partnerships between transportation professionals and police to work collectively on enforcement interventions.</t>
  </si>
  <si>
    <t>Yes, collaboration has been taking place and can continue to strengthen</t>
  </si>
  <si>
    <t>- Communities with the most traffic violence have often seen the least transportation investment. 
+ Community engagement can help improve safety policies, campaigns &amp; design</t>
  </si>
  <si>
    <t>Work to assign power to community members whose daily experiences can guide solutions that best reflect their concerns and needs.</t>
  </si>
  <si>
    <t>in New York City, the efforts of the New York Department of Transportation (NYCDOT), in partnership with other city agencies including the Office of the Mayor and the New York Police Department (NYPD), to enact a Vision Zero Action Plan. the NYCDOT/NYPD collaboration is not merely a question of meeting a quota, or generating funds for Vision Zero programming in the forms of fines, but rather a response by the city to the demands of various advocacy groups and a fundamental shift in operating philosophy. Changes included lowering the city speed limit from 30 to 25 mph.</t>
  </si>
  <si>
    <t>[121] Conner, Marco. “Traffic Justice: Achieving Effective and Equitable Traffic Enforcement in the Age of Vision Zero Colloquium: Getting There from Here: An Exploration of Regionalism and Transportation in the United States.” Fordham Urban Law Journal 44, no. 4 (2017): 969–1004. https://heinonline.org/HOL/P?h=hein.journals/frdurb44&amp;i=997.</t>
  </si>
  <si>
    <t>Enforcement measures must consider the history of police violence and racial bias. In-person enforcement must also be must be widespread, consistent, and sustained, which means they must be applied as part of routine hourly and daily traffic enforcement. Automated enforcement helps prevent racial bias and inequities ANd has been shown to be highly effective for reducing fatalities and injuries.</t>
  </si>
  <si>
    <t>Independent Review [122][123]</t>
  </si>
  <si>
    <t>It is best practice to have an independent audit of safety programs</t>
  </si>
  <si>
    <t xml:space="preserve">Recommended as good practice but efficacy for crash reduction is unquantified. </t>
  </si>
  <si>
    <t>Reporting [124]</t>
  </si>
  <si>
    <t xml:space="preserve">Publish city-wide collision report </t>
  </si>
  <si>
    <t xml:space="preserve">Recommended as good practice but crash reduction efficacy is unquantified. </t>
  </si>
  <si>
    <t>A major limitation to increasing the status of road safety as a public problem is that it is generally understood as a private problem and changing this perception through policy requires a more deeply engaged public process.</t>
  </si>
  <si>
    <t>Safety Assessment Technology [125][126][127]</t>
  </si>
  <si>
    <t>Technology to capture crash data and/or speed detection with monitoring equipment, such as cameras, roadside sensors, and wireless sensor networks, to observe traffic conditions and promote traffic safety.</t>
  </si>
  <si>
    <t>Speed trailers (6) and LIDAR speed guns, but don't have handhelds and would be interested in this</t>
  </si>
  <si>
    <t xml:space="preserve">- Crash reporting is based on police records but many crashes go unreported or underreported, especially crashes with minor injuries. 
-  Scholars have found evidence of differences in reporting rates by race. In San Francisco, injured African American pedestrians treated at one hospital were roughly half as likely as Whites to have had a police report taken. </t>
  </si>
  <si>
    <t>Video analytics can increase accuracy of reporting and help define proactive crash prevention measures</t>
  </si>
  <si>
    <t>[125] "World Health Organization. Data Systems: A Road Safety Manual for Decision-Makers and Practitioners, 2010. http://apps.who.int/iris/bitstream/10665/44256/1
/9789241598965_eng.pdf."</t>
  </si>
  <si>
    <t>Road crash data system refers to the people, processes, hardware and software involved in collecting and managing information related to road traffic crashes. Road crash data systems should process information in a way that allows for analysis at an aggregate level and facilitates data-driven action.</t>
  </si>
  <si>
    <t>A 2019 literature review on big data in transportation cites the potential for traffic monitoring to analyze near misses and collisions, again to identify safety risk in a PROACTIVE MANNER. The article also cites the potential of AVs for safety improvements (which is controversial from an equity standpoint).</t>
  </si>
  <si>
    <t xml:space="preserve">Big data is offering new tools for monitoring and analysis that can be included into city automated systems. For example, new technology can use a city’s existing traffic cameras to generate count reports that classify vehicles by turning movement, direction of approach, and mode to identify high risk intersections before injuries occur. </t>
  </si>
  <si>
    <t>Engage the Community [128][129]</t>
  </si>
  <si>
    <t xml:space="preserve">Engage with community-based organizations, residents, and advocates to inform education, planning, monitoring and policy efforts </t>
  </si>
  <si>
    <t>Community and advocate engagement can inform the creation and implementation of policies, campaigns &amp; street designs</t>
  </si>
  <si>
    <t xml:space="preserve"> "Mixer for Community Based Organizations (CBOs): LADOT invites thousands of CBOs to a full day mixer to learn about Vision Zero but they spend the day learning about the values and priorities of these groups so the agency can develop connections between its work and that of the CBOs (such as with homelessness, youth engagement or the arts). CBOs interested in the agency’s Vision Zero work are then invited to a “Capacity Building Institute” to learn how to navigate city processes."</t>
  </si>
  <si>
    <t xml:space="preserve">Transportation education, policy, and enforcement can all benefit from a Health in all Policies approach. Health in all policies requires participation in policy creation. </t>
  </si>
  <si>
    <t xml:space="preserve">Rapid Response Engineering Investigation [130] </t>
  </si>
  <si>
    <t xml:space="preserve">Perform engineering reviews at all traffic fatality and high collision locations and at scenes of crashes </t>
  </si>
  <si>
    <t xml:space="preserve"> + Helps prevent future crashes by rapidly assessing how infrastructure improvements can prevent similar crash patterns that disproportionately impact High Priority Neighborhoods</t>
  </si>
  <si>
    <t>Rapid response investigation can help document disparities in transportation infrastructure that contribute to crash risk.</t>
  </si>
  <si>
    <t>[130] Federal Highway Administration. Highway Safety Improvement Program Manual. Publication FHWA-SA-09-029. FHWA, U.S. Department of Transportation, 2010.</t>
  </si>
  <si>
    <t>Rapid Response Police Investigationn [131]</t>
  </si>
  <si>
    <t>Investigate crashes that result in fatalities as well as crashes that result in critical injuries</t>
  </si>
  <si>
    <t>Somewhat - just fatal or potentially fatal</t>
  </si>
  <si>
    <t xml:space="preserve"> - Many crashes go unreported or underreported, especially crashes involving people of color and bicyclists. Scholars have found evidence of differences in reporting rates by race. In San Francisco, injured African American pedestrians treated at one hospital were roughly half as likely as Whites to have had a police report taken. </t>
  </si>
  <si>
    <t>Contact crash victims and perpetrators to gather report information in an appropriate manner that is sensitive to historic racial relations with police</t>
  </si>
  <si>
    <t>Efficacy = The ability of an intervention to reduce crashes and/or injuries</t>
  </si>
  <si>
    <t>CATEGORIES</t>
  </si>
  <si>
    <t>CATEGORY CRITERIA</t>
  </si>
  <si>
    <t xml:space="preserve">HIGH 
</t>
  </si>
  <si>
    <t>o        Proven to be effective based on several evaluations with consistent results of low crashes, fatalities and injuries
o        AND/OR crashes/injuries/speeds reduced by &gt;40% or &gt;10 mph
o        AND/OR Crash Modification Factors (CMF) Clearinghouse: ***** = 14 quality points or **** = 11–13 quality points</t>
  </si>
  <si>
    <t xml:space="preserve">MEDIUM  
</t>
  </si>
  <si>
    <t>o        Generally accepted to be effective based on evaluations resulting in of low crashes, fatalities and injuries
o        AND/OR crashes/injuries/speeds reduced by 40% - 20% or 5MPH
o        AND/OR Crash Modification Factors (CMF) Clearinghouse **** = 11–13 quality points or *** = 7–10 quality points</t>
  </si>
  <si>
    <t xml:space="preserve">LOW
</t>
  </si>
  <si>
    <t>o        Generally known to have limited efficacy based on evaluations with inconsistent results of low crashes, fatalities and injuries
o        AND/OR crashes/injuries/speeds reduced by &lt;20% and 5 MPH- 10mph​
o        AND/OR Crash Modification Factors (CMF) Clearinghouse **** = 11–13 quality points or *** = 7–10 quality points"</t>
  </si>
  <si>
    <t xml:space="preserve">UNKNOWN 
</t>
  </si>
  <si>
    <t>o        Lower quality rating; limited evaluation of evidence; experimental; outcomes inconsistent and inconclusive between studies 
o        AND/Or crashes/injuries/speeds reduced by &lt;5% or &lt;5 MPH ​
o        AND/OR Crash Modification Factors (CMF) Clearinghouse ** = 3–6 quality points</t>
  </si>
  <si>
    <t>NOTE</t>
  </si>
  <si>
    <t>When possible we included professional evaluations of best practice and academic studies. When there were no academic focused specifically on efficacy, in-the-field practice that shows consistent results of low crash, fatality and injury rates per intervention were used. For example, while there are few high quality studies on lowering speeds in the CMF Clearinghouse, yet the CalSTA Report of Findings on AB 2363 from January 2020 cite many US states and countries such as Netherlands, Sweden, and Australia lowering their speeds to below 40mph and 20 mph in residential areas. This practice is common is supported by research showing that the human body is unlikely to survive impact speeds more than 40 mph and very likely at 20mph or less. These best practice examples meet our criteria for 'HIGH' efficacy.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</si>
</sst>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Arial"/>
    </font>
    <font>
      <b/>
      <sz val="18"/>
      <color rgb="FF000000"/>
      <name val="Montserrat"/>
    </font>
    <font>
      <sz val="11"/>
      <name val="Arial"/>
    </font>
    <font>
      <sz val="14"/>
      <color theme="1"/>
      <name val="Montserrat"/>
    </font>
    <font>
      <sz val="11"/>
      <color theme="1"/>
      <name val="Montserrat"/>
    </font>
    <font>
      <b/>
      <sz val="14"/>
      <color rgb="FF00B050"/>
      <name val="Montserrat"/>
    </font>
    <font>
      <b/>
      <sz val="12"/>
      <color theme="9"/>
      <name val="Montserrat"/>
    </font>
    <font>
      <sz val="12"/>
      <color rgb="FF000000"/>
      <name val="Montserrat"/>
    </font>
    <font>
      <sz val="12"/>
      <color theme="1"/>
      <name val="Montserrat"/>
    </font>
    <font>
      <sz val="11"/>
      <color theme="1"/>
      <name val="Calibri"/>
    </font>
    <font>
      <b/>
      <sz val="12"/>
      <color theme="1"/>
      <name val="Montserrat"/>
    </font>
    <font>
      <sz val="11"/>
      <color rgb="FF000000"/>
      <name val="Montserrat"/>
    </font>
    <font>
      <u/>
      <sz val="11"/>
      <color theme="10"/>
      <name val="Montserrat"/>
    </font>
    <font>
      <i/>
      <sz val="12"/>
      <color theme="1"/>
      <name val="Montserrat"/>
    </font>
    <font>
      <i/>
      <sz val="12"/>
      <color rgb="FF000000"/>
      <name val="Montserrat"/>
    </font>
    <font>
      <b/>
      <sz val="11"/>
      <color rgb="FF000000"/>
      <name val="Montserrat"/>
    </font>
    <font>
      <b/>
      <sz val="18"/>
      <color rgb="FF00B050"/>
      <name val="Montserrat"/>
    </font>
    <font>
      <sz val="14"/>
      <color rgb="FF000000"/>
      <name val="Montserrat"/>
    </font>
    <font>
      <b/>
      <sz val="14"/>
      <color rgb="FF000000"/>
      <name val="Montserrat"/>
    </font>
    <font>
      <sz val="11"/>
      <color theme="10"/>
      <name val="Montserrat"/>
    </font>
    <font>
      <sz val="11"/>
      <color rgb="FF0563C1"/>
      <name val="Montserrat"/>
    </font>
    <font>
      <sz val="11"/>
      <color theme="10"/>
      <name val="Monserrat"/>
    </font>
    <font>
      <b/>
      <sz val="11"/>
      <name val="Arial"/>
    </font>
    <font>
      <u/>
      <sz val="11"/>
      <color rgb="FF000000"/>
      <name val="Arial"/>
    </font>
    <font>
      <b/>
      <sz val="11"/>
      <color theme="1"/>
      <name val="Arial"/>
    </font>
    <font>
      <b/>
      <sz val="11"/>
      <color rgb="FF000000"/>
      <name val="Arial"/>
    </font>
    <font>
      <u/>
      <sz val="11"/>
      <color theme="10"/>
      <name val="Arial"/>
    </font>
    <font>
      <b/>
      <sz val="18"/>
      <color rgb="FF000000"/>
      <name val="Arial"/>
    </font>
    <font>
      <b/>
      <sz val="18"/>
      <color rgb="FF0000FF"/>
      <name val="Arial"/>
    </font>
    <font>
      <sz val="14"/>
      <color theme="1"/>
      <name val="Arial"/>
    </font>
    <font>
      <b/>
      <sz val="14"/>
      <color rgb="FF00B050"/>
      <name val="Arial"/>
    </font>
    <font>
      <b/>
      <sz val="14"/>
      <color rgb="FF0000FF"/>
      <name val="Arial"/>
    </font>
    <font>
      <b/>
      <sz val="12"/>
      <color theme="9"/>
      <name val="Arial"/>
    </font>
    <font>
      <sz val="12"/>
      <color rgb="FF00B050"/>
      <name val="Arial"/>
    </font>
    <font>
      <sz val="12"/>
      <color rgb="FF000000"/>
      <name val="Arial"/>
    </font>
    <font>
      <sz val="12"/>
      <color rgb="FF0000FF"/>
      <name val="Arial"/>
    </font>
    <font>
      <sz val="12"/>
      <color theme="1"/>
      <name val="Arial"/>
    </font>
    <font>
      <b/>
      <sz val="12"/>
      <color rgb="FF000000"/>
      <name val="Arial"/>
    </font>
    <font>
      <u/>
      <sz val="12"/>
      <color rgb="FF000000"/>
      <name val="Arial"/>
    </font>
    <font>
      <b/>
      <sz val="12"/>
      <color rgb="FF0000FF"/>
      <name val="Arial"/>
    </font>
    <font>
      <b/>
      <sz val="12"/>
      <color theme="1"/>
      <name val="Arial"/>
    </font>
    <font>
      <sz val="11"/>
      <color rgb="FF000000"/>
      <name val="Arial"/>
    </font>
    <font>
      <sz val="18"/>
      <color theme="1"/>
      <name val="Arial"/>
    </font>
    <font>
      <i/>
      <sz val="12"/>
      <color theme="1"/>
      <name val="Arial"/>
    </font>
    <font>
      <i/>
      <sz val="12"/>
      <color rgb="FF0000FF"/>
      <name val="Arial"/>
    </font>
    <font>
      <i/>
      <sz val="12"/>
      <color rgb="FF000000"/>
      <name val="Arial"/>
    </font>
    <font>
      <i/>
      <u/>
      <sz val="12"/>
      <color rgb="FF000000"/>
      <name val="Arial"/>
    </font>
    <font>
      <sz val="11"/>
      <color rgb="FF0000FF"/>
      <name val="Arial"/>
    </font>
    <font>
      <i/>
      <sz val="11"/>
      <color theme="1"/>
      <name val="Arial"/>
    </font>
  </fonts>
  <fills count="8">
    <fill>
      <patternFill patternType="none"/>
    </fill>
    <fill>
      <patternFill patternType="gray125"/>
    </fill>
    <fill>
      <patternFill patternType="solid">
        <fgColor theme="7"/>
        <bgColor theme="7"/>
      </patternFill>
    </fill>
    <fill>
      <patternFill patternType="solid">
        <fgColor rgb="FFFFC000"/>
        <bgColor rgb="FFFFC000"/>
      </patternFill>
    </fill>
    <fill>
      <patternFill patternType="solid">
        <fgColor theme="0"/>
        <bgColor theme="0"/>
      </patternFill>
    </fill>
    <fill>
      <patternFill patternType="solid">
        <fgColor rgb="FFA8D08D"/>
        <bgColor rgb="FFA8D08D"/>
      </patternFill>
    </fill>
    <fill>
      <patternFill patternType="solid">
        <fgColor rgb="FFFFFFFF"/>
        <bgColor rgb="FFFFFFFF"/>
      </patternFill>
    </fill>
    <fill>
      <patternFill patternType="solid">
        <fgColor rgb="FFC8F1AD"/>
        <bgColor rgb="FFC8F1AD"/>
      </patternFill>
    </fill>
  </fills>
  <borders count="6">
    <border>
      <left/>
      <right/>
      <top/>
      <bottom/>
      <diagonal/>
    </border>
    <border>
      <left style="thick">
        <color rgb="FFB7B7B7"/>
      </left>
      <right/>
      <top style="thick">
        <color rgb="FFB7B7B7"/>
      </top>
      <bottom style="thick">
        <color rgb="FFB7B7B7"/>
      </bottom>
      <diagonal/>
    </border>
    <border>
      <left/>
      <right/>
      <top style="thick">
        <color rgb="FFB7B7B7"/>
      </top>
      <bottom style="thick">
        <color rgb="FFB7B7B7"/>
      </bottom>
      <diagonal/>
    </border>
    <border>
      <left/>
      <right style="thick">
        <color rgb="FFB7B7B7"/>
      </right>
      <top style="thick">
        <color rgb="FFB7B7B7"/>
      </top>
      <bottom style="thick">
        <color rgb="FFB7B7B7"/>
      </bottom>
      <diagonal/>
    </border>
    <border>
      <left style="thick">
        <color rgb="FFB7B7B7"/>
      </left>
      <right style="thick">
        <color rgb="FFB7B7B7"/>
      </right>
      <top style="thick">
        <color rgb="FFB7B7B7"/>
      </top>
      <bottom style="thick">
        <color rgb="FFB7B7B7"/>
      </bottom>
      <diagonal/>
    </border>
    <border>
      <left/>
      <right/>
      <top/>
      <bottom style="thick">
        <color rgb="FFB7B7B7"/>
      </bottom>
      <diagonal/>
    </border>
  </borders>
  <cellStyleXfs count="2">
    <xf numFmtId="0" fontId="0" fillId="0" borderId="0"/>
    <xf numFmtId="0" fontId="26" fillId="0" borderId="0" applyNumberFormat="0" applyFill="0" applyBorder="0" applyAlignment="0" applyProtection="0"/>
  </cellStyleXfs>
  <cellXfs count="67">
    <xf numFmtId="0" fontId="0" fillId="0" borderId="0" xfId="0" applyFont="1" applyAlignment="1"/>
    <xf numFmtId="0" fontId="7" fillId="0" borderId="4" xfId="0" applyFont="1" applyBorder="1" applyAlignment="1">
      <alignment vertical="top" wrapText="1"/>
    </xf>
    <xf numFmtId="0" fontId="9" fillId="0" borderId="0" xfId="0" applyFont="1"/>
    <xf numFmtId="0" fontId="16" fillId="0" borderId="0" xfId="0" applyFont="1" applyAlignment="1">
      <alignment vertical="top"/>
    </xf>
    <xf numFmtId="0" fontId="9" fillId="0" borderId="0" xfId="0" applyFont="1" applyAlignment="1">
      <alignment wrapText="1"/>
    </xf>
    <xf numFmtId="0" fontId="17"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vertical="top" wrapText="1"/>
    </xf>
    <xf numFmtId="0" fontId="5" fillId="0" borderId="5" xfId="0" applyFont="1" applyBorder="1" applyAlignment="1"/>
    <xf numFmtId="0" fontId="6"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7" fillId="0" borderId="0" xfId="0" applyFont="1" applyAlignment="1">
      <alignment vertical="top" wrapText="1"/>
    </xf>
    <xf numFmtId="0" fontId="11" fillId="0" borderId="0" xfId="0" applyFont="1" applyAlignment="1">
      <alignment vertical="top" wrapText="1"/>
    </xf>
    <xf numFmtId="0" fontId="15" fillId="0" borderId="0" xfId="0" applyFont="1" applyAlignment="1">
      <alignment vertical="top" wrapText="1"/>
    </xf>
    <xf numFmtId="0" fontId="20" fillId="0" borderId="0" xfId="0" applyFont="1" applyAlignment="1">
      <alignment vertical="top" wrapText="1"/>
    </xf>
    <xf numFmtId="0" fontId="1" fillId="0" borderId="0" xfId="0" applyFont="1" applyAlignment="1">
      <alignment horizontal="center" vertical="top" wrapText="1"/>
    </xf>
    <xf numFmtId="0" fontId="13" fillId="0" borderId="0" xfId="0" applyFont="1" applyAlignment="1">
      <alignment vertical="top" wrapText="1"/>
    </xf>
    <xf numFmtId="0" fontId="8" fillId="0" borderId="0" xfId="0" applyFont="1" applyAlignment="1">
      <alignment vertical="top" wrapText="1"/>
    </xf>
    <xf numFmtId="0" fontId="14" fillId="0" borderId="0" xfId="0" applyFont="1" applyAlignment="1">
      <alignment vertical="top" wrapText="1"/>
    </xf>
    <xf numFmtId="0" fontId="10" fillId="0" borderId="0" xfId="0" applyFont="1" applyAlignment="1">
      <alignment vertical="top" wrapText="1"/>
    </xf>
    <xf numFmtId="0" fontId="21" fillId="0" borderId="0" xfId="0" applyFont="1" applyAlignment="1">
      <alignment vertical="top" wrapText="1"/>
    </xf>
    <xf numFmtId="0" fontId="9" fillId="0" borderId="0" xfId="0" applyFont="1" applyAlignment="1">
      <alignment vertical="top" wrapText="1"/>
    </xf>
    <xf numFmtId="0" fontId="12" fillId="0" borderId="0" xfId="0" applyFont="1" applyAlignment="1">
      <alignment wrapText="1"/>
    </xf>
    <xf numFmtId="0" fontId="28" fillId="2" borderId="4" xfId="0" applyFont="1" applyFill="1" applyBorder="1" applyAlignment="1">
      <alignment horizontal="left" vertical="top"/>
    </xf>
    <xf numFmtId="0" fontId="29" fillId="3" borderId="4" xfId="0" applyFont="1" applyFill="1" applyBorder="1" applyAlignment="1">
      <alignment horizontal="center" vertical="top"/>
    </xf>
    <xf numFmtId="0" fontId="0" fillId="0" borderId="4" xfId="0" applyFont="1" applyBorder="1" applyAlignment="1">
      <alignment vertical="top"/>
    </xf>
    <xf numFmtId="0" fontId="30" fillId="0" borderId="4" xfId="0" applyFont="1" applyBorder="1" applyAlignment="1">
      <alignment vertical="top"/>
    </xf>
    <xf numFmtId="0" fontId="30" fillId="4" borderId="4" xfId="0" applyFont="1" applyFill="1" applyBorder="1" applyAlignment="1">
      <alignment vertical="top"/>
    </xf>
    <xf numFmtId="0" fontId="31" fillId="0" borderId="4" xfId="0" applyFont="1" applyBorder="1" applyAlignment="1">
      <alignment vertical="top"/>
    </xf>
    <xf numFmtId="0" fontId="32" fillId="0" borderId="4" xfId="0" applyFont="1" applyBorder="1" applyAlignment="1">
      <alignment vertical="top"/>
    </xf>
    <xf numFmtId="0" fontId="33" fillId="0" borderId="4" xfId="0" applyFont="1" applyBorder="1" applyAlignment="1">
      <alignment vertical="top"/>
    </xf>
    <xf numFmtId="0" fontId="34" fillId="0" borderId="4" xfId="0" applyFont="1" applyBorder="1" applyAlignment="1">
      <alignment vertical="top"/>
    </xf>
    <xf numFmtId="0" fontId="35" fillId="0" borderId="4" xfId="0" applyFont="1" applyBorder="1" applyAlignment="1">
      <alignment vertical="top"/>
    </xf>
    <xf numFmtId="0" fontId="36" fillId="0" borderId="4" xfId="0" applyFont="1" applyBorder="1" applyAlignment="1">
      <alignment vertical="top"/>
    </xf>
    <xf numFmtId="0" fontId="28" fillId="5" borderId="4" xfId="0" applyFont="1" applyFill="1" applyBorder="1" applyAlignment="1">
      <alignment vertical="top"/>
    </xf>
    <xf numFmtId="0" fontId="0" fillId="5" borderId="4" xfId="0" applyFont="1" applyFill="1" applyBorder="1" applyAlignment="1">
      <alignment vertical="top"/>
    </xf>
    <xf numFmtId="0" fontId="37" fillId="0" borderId="4" xfId="0" applyFont="1" applyBorder="1" applyAlignment="1">
      <alignment vertical="top"/>
    </xf>
    <xf numFmtId="0" fontId="38" fillId="0" borderId="4" xfId="0" applyFont="1" applyBorder="1" applyAlignment="1">
      <alignment vertical="top"/>
    </xf>
    <xf numFmtId="0" fontId="34" fillId="0" borderId="4" xfId="0" applyFont="1" applyBorder="1" applyAlignment="1">
      <alignment horizontal="left" vertical="top"/>
    </xf>
    <xf numFmtId="0" fontId="34" fillId="6" borderId="4" xfId="0" applyFont="1" applyFill="1" applyBorder="1" applyAlignment="1">
      <alignment horizontal="left" vertical="top"/>
    </xf>
    <xf numFmtId="0" fontId="39" fillId="7" borderId="4" xfId="0" applyFont="1" applyFill="1" applyBorder="1" applyAlignment="1">
      <alignment vertical="top"/>
    </xf>
    <xf numFmtId="0" fontId="34" fillId="7" borderId="4" xfId="0" applyFont="1" applyFill="1" applyBorder="1" applyAlignment="1">
      <alignment vertical="top"/>
    </xf>
    <xf numFmtId="0" fontId="37" fillId="6" borderId="4" xfId="0" applyFont="1" applyFill="1" applyBorder="1" applyAlignment="1">
      <alignment vertical="top"/>
    </xf>
    <xf numFmtId="0" fontId="40" fillId="0" borderId="4" xfId="0" applyFont="1" applyBorder="1" applyAlignment="1">
      <alignment vertical="top"/>
    </xf>
    <xf numFmtId="0" fontId="36" fillId="0" borderId="0" xfId="0" applyFont="1" applyAlignment="1"/>
    <xf numFmtId="0" fontId="34" fillId="0" borderId="4" xfId="0" quotePrefix="1" applyFont="1" applyBorder="1" applyAlignment="1">
      <alignment vertical="top"/>
    </xf>
    <xf numFmtId="0" fontId="41" fillId="0" borderId="4" xfId="0" applyFont="1" applyBorder="1" applyAlignment="1">
      <alignment vertical="top"/>
    </xf>
    <xf numFmtId="0" fontId="23" fillId="0" borderId="4" xfId="0" applyFont="1" applyBorder="1" applyAlignment="1">
      <alignment vertical="top"/>
    </xf>
    <xf numFmtId="0" fontId="42" fillId="5" borderId="4" xfId="0" applyFont="1" applyFill="1" applyBorder="1" applyAlignment="1">
      <alignment vertical="top"/>
    </xf>
    <xf numFmtId="0" fontId="26" fillId="5" borderId="4" xfId="0" applyFont="1" applyFill="1" applyBorder="1" applyAlignment="1">
      <alignment vertical="top"/>
    </xf>
    <xf numFmtId="0" fontId="43" fillId="0" borderId="4" xfId="0" applyFont="1" applyBorder="1" applyAlignment="1">
      <alignment vertical="top"/>
    </xf>
    <xf numFmtId="0" fontId="44" fillId="0" borderId="4" xfId="0" applyFont="1" applyBorder="1" applyAlignment="1">
      <alignment vertical="top"/>
    </xf>
    <xf numFmtId="0" fontId="45" fillId="0" borderId="4" xfId="0" applyFont="1" applyBorder="1" applyAlignment="1">
      <alignment vertical="top"/>
    </xf>
    <xf numFmtId="0" fontId="46" fillId="0" borderId="4" xfId="0" applyFont="1" applyBorder="1" applyAlignment="1">
      <alignment vertical="top"/>
    </xf>
    <xf numFmtId="0" fontId="25" fillId="0" borderId="4" xfId="0" applyFont="1" applyBorder="1" applyAlignment="1">
      <alignment vertical="top"/>
    </xf>
    <xf numFmtId="0" fontId="47" fillId="0" borderId="4" xfId="0" applyFont="1" applyBorder="1" applyAlignment="1">
      <alignment vertical="top"/>
    </xf>
    <xf numFmtId="0" fontId="41" fillId="0" borderId="4" xfId="0" quotePrefix="1" applyFont="1" applyBorder="1" applyAlignment="1">
      <alignment vertical="top"/>
    </xf>
    <xf numFmtId="0" fontId="48" fillId="0" borderId="4" xfId="0" applyFont="1" applyBorder="1" applyAlignment="1">
      <alignment vertical="top"/>
    </xf>
    <xf numFmtId="0" fontId="41" fillId="0" borderId="4" xfId="0" applyFont="1" applyBorder="1" applyAlignment="1">
      <alignment horizontal="left" vertical="top"/>
    </xf>
    <xf numFmtId="0" fontId="26" fillId="0" borderId="4" xfId="1" applyBorder="1" applyAlignment="1">
      <alignment vertical="top"/>
    </xf>
    <xf numFmtId="0" fontId="27" fillId="5" borderId="1" xfId="0" applyFont="1" applyFill="1" applyBorder="1" applyAlignment="1">
      <alignment vertical="top"/>
    </xf>
    <xf numFmtId="0" fontId="2" fillId="0" borderId="2" xfId="0" applyFont="1" applyBorder="1" applyAlignment="1"/>
    <xf numFmtId="0" fontId="2" fillId="0" borderId="3" xfId="0" applyFont="1" applyBorder="1" applyAlignment="1"/>
    <xf numFmtId="0" fontId="27" fillId="2" borderId="1" xfId="0" applyFont="1" applyFill="1" applyBorder="1" applyAlignment="1">
      <alignment horizontal="left" vertical="top"/>
    </xf>
    <xf numFmtId="0" fontId="29" fillId="3" borderId="1" xfId="0" applyFont="1" applyFill="1" applyBorder="1" applyAlignment="1">
      <alignment horizontal="center" vertical="top"/>
    </xf>
    <xf numFmtId="0" fontId="37" fillId="7" borderId="1" xfId="0" applyFont="1" applyFill="1" applyBorder="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hwa.dot.gov/publications/research/safety/pedbike/03042/03042.pdf" TargetMode="External"/><Relationship Id="rId13" Type="http://schemas.openxmlformats.org/officeDocument/2006/relationships/hyperlink" Target="https://www.sciencedirect.com/science/article/pii/S0022437516302304" TargetMode="External"/><Relationship Id="rId18" Type="http://schemas.openxmlformats.org/officeDocument/2006/relationships/vmlDrawing" Target="../drawings/vmlDrawing1.vml"/><Relationship Id="rId3" Type="http://schemas.openxmlformats.org/officeDocument/2006/relationships/hyperlink" Target="https://www.tandfonline.com/doi/abs/10.1080/01441647.2016.1254691?journalCode=ttrv20" TargetMode="External"/><Relationship Id="rId7" Type="http://schemas.openxmlformats.org/officeDocument/2006/relationships/hyperlink" Target="http://onlinepubs.trb.org/Onlinepubs/nchrp/nchrp_rpt_330.pdf" TargetMode="External"/><Relationship Id="rId12" Type="http://schemas.openxmlformats.org/officeDocument/2006/relationships/hyperlink" Target="https://www.sciencedirect.com/science/article/abs/pii/S000145750800242X" TargetMode="External"/><Relationship Id="rId17" Type="http://schemas.openxmlformats.org/officeDocument/2006/relationships/hyperlink" Target="https://journals.sagepub.com/doi/abs/10.3141/2519-16" TargetMode="External"/><Relationship Id="rId2" Type="http://schemas.openxmlformats.org/officeDocument/2006/relationships/hyperlink" Target="https://calsta.ca.gov/-/media/calsta-media/documents/final-uc-its-research-synthesis-ab2363-a11y.pdf" TargetMode="External"/><Relationship Id="rId16" Type="http://schemas.openxmlformats.org/officeDocument/2006/relationships/hyperlink" Target="https://safety.fhwa.dot.gov/tsp/fhwasa18024/MPOLocalSafetyPlanGuide_508compliant.pdf" TargetMode="External"/><Relationship Id="rId1" Type="http://schemas.openxmlformats.org/officeDocument/2006/relationships/hyperlink" Target="https://www.sciencedirect.com/science/article/abs/pii/S0001457517302476" TargetMode="External"/><Relationship Id="rId6" Type="http://schemas.openxmlformats.org/officeDocument/2006/relationships/hyperlink" Target="https://trid.trb.org/view/1666450" TargetMode="External"/><Relationship Id="rId11" Type="http://schemas.openxmlformats.org/officeDocument/2006/relationships/hyperlink" Target="https://www.sciencedirect.com/science/article/abs/pii/S000145751300314X" TargetMode="External"/><Relationship Id="rId5" Type="http://schemas.openxmlformats.org/officeDocument/2006/relationships/hyperlink" Target="https://journals.sagepub.com/doi/abs/10.3141/2605-05?casa_token=jt7eFoHWosAAAAAA:JrWVeXjdpiSO38hZhFTJkHbdvWS8dU5FBTF5qzhy3V9rFctqJH8uj-bfjyKgR1CHGfHwVjnzizDaHqk" TargetMode="External"/><Relationship Id="rId15" Type="http://schemas.openxmlformats.org/officeDocument/2006/relationships/hyperlink" Target="https://www.sciencedirect.com/science/article/abs/pii/S2214140514000218" TargetMode="External"/><Relationship Id="rId10" Type="http://schemas.openxmlformats.org/officeDocument/2006/relationships/hyperlink" Target="http://www.cmfclearinghouse.org/results.cfm" TargetMode="External"/><Relationship Id="rId19" Type="http://schemas.openxmlformats.org/officeDocument/2006/relationships/comments" Target="../comments1.xml"/><Relationship Id="rId4" Type="http://schemas.openxmlformats.org/officeDocument/2006/relationships/hyperlink" Target="https://www.tandfonline.com/doi/abs/10.1080/01441647.2016.1254691?journalCode=ttrv20" TargetMode="External"/><Relationship Id="rId9" Type="http://schemas.openxmlformats.org/officeDocument/2006/relationships/hyperlink" Target="https://journals.sagepub.com/doi/abs/10.1177/0361198106195300123?casa_token=wmFadQK0QOkAAAAA:UTAcQ8rF_sOILoHrgpRQK3t4dIOeHz-yaCQDRxOoxLSUZmcuy00U28bx9l7utMwO7ZeN81iyMY3n5yo" TargetMode="External"/><Relationship Id="rId14" Type="http://schemas.openxmlformats.org/officeDocument/2006/relationships/hyperlink" Target="https://www.sciencedirect.com/science/article/pii/S00224375163023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003"/>
  <sheetViews>
    <sheetView tabSelected="1" workbookViewId="0">
      <pane ySplit="3" topLeftCell="M10" activePane="bottomLeft" state="frozen"/>
      <selection pane="bottomLeft" activeCell="N26" sqref="N26"/>
    </sheetView>
  </sheetViews>
  <sheetFormatPr defaultColWidth="12.625" defaultRowHeight="15" customHeight="1" outlineLevelRow="1"/>
  <cols>
    <col min="1" max="1" width="32.625" customWidth="1"/>
    <col min="2" max="2" width="32" customWidth="1"/>
    <col min="3" max="3" width="15.5" customWidth="1"/>
    <col min="4" max="4" width="44.625" customWidth="1"/>
    <col min="5" max="5" width="17.375" customWidth="1"/>
    <col min="6" max="6" width="21" customWidth="1"/>
    <col min="7" max="7" width="20.625" customWidth="1"/>
    <col min="8" max="8" width="29.625" customWidth="1"/>
    <col min="9" max="9" width="31.625" customWidth="1"/>
    <col min="10" max="10" width="23.5" customWidth="1"/>
    <col min="11" max="11" width="31.5" hidden="1" customWidth="1"/>
    <col min="12" max="21" width="46.375" customWidth="1"/>
    <col min="22" max="34" width="7.625" customWidth="1"/>
  </cols>
  <sheetData>
    <row r="1" spans="1:34" ht="37.5" customHeight="1">
      <c r="A1" s="64" t="s">
        <v>0</v>
      </c>
      <c r="B1" s="62"/>
      <c r="C1" s="62"/>
      <c r="D1" s="62"/>
      <c r="E1" s="62"/>
      <c r="F1" s="62"/>
      <c r="G1" s="62"/>
      <c r="H1" s="62"/>
      <c r="I1" s="62"/>
      <c r="J1" s="63"/>
      <c r="K1" s="24"/>
      <c r="L1" s="65"/>
      <c r="M1" s="62"/>
      <c r="N1" s="63"/>
      <c r="O1" s="25"/>
      <c r="P1" s="25"/>
      <c r="Q1" s="25"/>
      <c r="R1" s="25"/>
      <c r="S1" s="25"/>
      <c r="T1" s="25"/>
      <c r="U1" s="25"/>
      <c r="V1" s="26"/>
      <c r="W1" s="26"/>
      <c r="X1" s="26"/>
      <c r="Y1" s="26"/>
      <c r="Z1" s="26"/>
      <c r="AA1" s="26"/>
      <c r="AB1" s="26"/>
      <c r="AC1" s="26"/>
      <c r="AD1" s="26"/>
      <c r="AE1" s="26"/>
      <c r="AF1" s="26"/>
      <c r="AG1" s="26"/>
      <c r="AH1" s="26"/>
    </row>
    <row r="2" spans="1:34" ht="22.5" customHeight="1">
      <c r="A2" s="27" t="s">
        <v>1</v>
      </c>
      <c r="B2" s="27" t="s">
        <v>2</v>
      </c>
      <c r="C2" s="27" t="s">
        <v>3</v>
      </c>
      <c r="D2" s="27" t="s">
        <v>4</v>
      </c>
      <c r="E2" s="27" t="s">
        <v>5</v>
      </c>
      <c r="F2" s="28" t="s">
        <v>6</v>
      </c>
      <c r="G2" s="28" t="s">
        <v>7</v>
      </c>
      <c r="H2" s="28" t="s">
        <v>8</v>
      </c>
      <c r="I2" s="28" t="s">
        <v>9</v>
      </c>
      <c r="J2" s="27" t="s">
        <v>10</v>
      </c>
      <c r="K2" s="29" t="s">
        <v>11</v>
      </c>
      <c r="L2" s="27" t="s">
        <v>12</v>
      </c>
      <c r="M2" s="27" t="s">
        <v>13</v>
      </c>
      <c r="N2" s="27" t="s">
        <v>12</v>
      </c>
      <c r="O2" s="27" t="s">
        <v>13</v>
      </c>
      <c r="P2" s="27" t="s">
        <v>12</v>
      </c>
      <c r="Q2" s="27" t="s">
        <v>13</v>
      </c>
      <c r="R2" s="27" t="s">
        <v>12</v>
      </c>
      <c r="S2" s="27" t="s">
        <v>13</v>
      </c>
      <c r="T2" s="27" t="s">
        <v>12</v>
      </c>
      <c r="U2" s="27" t="s">
        <v>13</v>
      </c>
      <c r="V2" s="26"/>
      <c r="W2" s="26"/>
      <c r="X2" s="26"/>
      <c r="Y2" s="26"/>
      <c r="Z2" s="26"/>
      <c r="AA2" s="26"/>
      <c r="AB2" s="26"/>
      <c r="AC2" s="26"/>
      <c r="AD2" s="26"/>
      <c r="AE2" s="26"/>
      <c r="AF2" s="26"/>
      <c r="AG2" s="26"/>
      <c r="AH2" s="26"/>
    </row>
    <row r="3" spans="1:34" ht="53.25" customHeight="1">
      <c r="A3" s="30"/>
      <c r="B3" s="31"/>
      <c r="C3" s="31" t="s">
        <v>14</v>
      </c>
      <c r="D3" s="31"/>
      <c r="E3" s="31" t="s">
        <v>15</v>
      </c>
      <c r="F3" s="31" t="s">
        <v>16</v>
      </c>
      <c r="G3" s="31" t="s">
        <v>17</v>
      </c>
      <c r="H3" s="31" t="s">
        <v>18</v>
      </c>
      <c r="I3" s="31" t="s">
        <v>19</v>
      </c>
      <c r="J3" s="32"/>
      <c r="K3" s="33"/>
      <c r="L3" s="31" t="s">
        <v>20</v>
      </c>
      <c r="M3" s="34"/>
      <c r="N3" s="34"/>
      <c r="O3" s="34"/>
      <c r="P3" s="34"/>
      <c r="Q3" s="34"/>
      <c r="R3" s="34"/>
      <c r="S3" s="34"/>
      <c r="T3" s="34"/>
      <c r="U3" s="34"/>
      <c r="V3" s="34"/>
      <c r="W3" s="34"/>
      <c r="X3" s="34"/>
      <c r="Y3" s="34"/>
      <c r="Z3" s="34"/>
      <c r="AA3" s="34"/>
      <c r="AB3" s="34"/>
      <c r="AC3" s="34"/>
      <c r="AD3" s="34"/>
      <c r="AE3" s="34"/>
      <c r="AF3" s="34"/>
      <c r="AG3" s="34"/>
      <c r="AH3" s="34"/>
    </row>
    <row r="4" spans="1:34" ht="36" customHeight="1">
      <c r="A4" s="61" t="s">
        <v>21</v>
      </c>
      <c r="B4" s="62"/>
      <c r="C4" s="62"/>
      <c r="D4" s="62"/>
      <c r="E4" s="62"/>
      <c r="F4" s="62"/>
      <c r="G4" s="62"/>
      <c r="H4" s="62"/>
      <c r="I4" s="62"/>
      <c r="J4" s="63"/>
      <c r="K4" s="35"/>
      <c r="L4" s="36"/>
      <c r="M4" s="36"/>
      <c r="N4" s="36"/>
      <c r="O4" s="36"/>
      <c r="P4" s="36"/>
      <c r="Q4" s="36"/>
      <c r="R4" s="36"/>
      <c r="S4" s="36"/>
      <c r="T4" s="36"/>
      <c r="U4" s="36"/>
      <c r="V4" s="36"/>
      <c r="W4" s="36"/>
      <c r="X4" s="36"/>
      <c r="Y4" s="36"/>
      <c r="Z4" s="36"/>
      <c r="AA4" s="36"/>
      <c r="AB4" s="36"/>
      <c r="AC4" s="36"/>
      <c r="AD4" s="36"/>
      <c r="AE4" s="36"/>
      <c r="AF4" s="36"/>
      <c r="AG4" s="36"/>
      <c r="AH4" s="36"/>
    </row>
    <row r="5" spans="1:34" ht="15.75">
      <c r="A5" s="37" t="s">
        <v>22</v>
      </c>
      <c r="B5" s="32" t="s">
        <v>23</v>
      </c>
      <c r="C5" s="32" t="s">
        <v>24</v>
      </c>
      <c r="D5" s="38" t="str">
        <f>HYPERLINK("https://link.springer.com/article/10.1057/s41302-019-00160-5","Numberous - 38.7% decline in casualties and a 35.8% reduction in crashes (NYC)")</f>
        <v>Numberous - 38.7% decline in casualties and a 35.8% reduction in crashes (NYC)</v>
      </c>
      <c r="E5" s="32" t="s">
        <v>25</v>
      </c>
      <c r="F5" s="32" t="s">
        <v>26</v>
      </c>
      <c r="G5" s="32" t="s">
        <v>27</v>
      </c>
      <c r="H5" s="39" t="s">
        <v>28</v>
      </c>
      <c r="I5" s="40" t="s">
        <v>29</v>
      </c>
      <c r="J5" s="32" t="s">
        <v>30</v>
      </c>
      <c r="K5" s="33" t="s">
        <v>31</v>
      </c>
      <c r="L5" s="38" t="str">
        <f>HYPERLINK("https://link.springer.com/article/10.1057/s41302-019-00160-5","[1] Mammen, Kristin, Hyoung Suk Shim, and Bryan S. Weber. “Vision Zero: Speed Limit Reduction and Traffic Injury Prevention in New York City.” Eastern Economic Journal 46, no. 2 (April 1, 2020): 282–300. https://doi.org/10.1057/s41302-019-00160-5.")</f>
        <v>[1] Mammen, Kristin, Hyoung Suk Shim, and Bryan S. Weber. “Vision Zero: Speed Limit Reduction and Traffic Injury Prevention in New York City.” Eastern Economic Journal 46, no. 2 (April 1, 2020): 282–300. https://doi.org/10.1057/s41302-019-00160-5.</v>
      </c>
      <c r="M5" s="34" t="s">
        <v>32</v>
      </c>
      <c r="N5" s="38" t="str">
        <f>HYPERLINK("https://calsta.ca.gov/-/media/calsta-media/documents/calsta-report-of-findings-ab-2363-zero-traffic-fatalities-task-force-a11y.pdf","[2]“Zero Traffic Fatalities Task Force | CalSTA,” January 2020. https://calsta.ca.gov/subject-areas/enforcement-and-safety/zero-traffic-fatalities.")</f>
        <v>[2]“Zero Traffic Fatalities Task Force | CalSTA,” January 2020. https://calsta.ca.gov/subject-areas/enforcement-and-safety/zero-traffic-fatalities.</v>
      </c>
      <c r="O5" s="32" t="s">
        <v>33</v>
      </c>
      <c r="P5" s="34"/>
      <c r="Q5" s="32"/>
      <c r="R5" s="34"/>
      <c r="S5" s="34"/>
      <c r="T5" s="34"/>
      <c r="U5" s="34"/>
      <c r="V5" s="34"/>
      <c r="W5" s="34"/>
      <c r="X5" s="34"/>
      <c r="Y5" s="34"/>
      <c r="Z5" s="34"/>
      <c r="AA5" s="34"/>
      <c r="AB5" s="34"/>
      <c r="AC5" s="34"/>
      <c r="AD5" s="34"/>
      <c r="AE5" s="34"/>
      <c r="AF5" s="34"/>
      <c r="AG5" s="34"/>
      <c r="AH5" s="34"/>
    </row>
    <row r="6" spans="1:34" ht="15.75">
      <c r="A6" s="37" t="s">
        <v>34</v>
      </c>
      <c r="B6" s="39" t="s">
        <v>35</v>
      </c>
      <c r="C6" s="32" t="s">
        <v>36</v>
      </c>
      <c r="D6" s="38" t="s">
        <v>37</v>
      </c>
      <c r="E6" s="32" t="s">
        <v>38</v>
      </c>
      <c r="F6" s="32" t="s">
        <v>25</v>
      </c>
      <c r="G6" s="34"/>
      <c r="H6" s="34"/>
      <c r="I6" s="34"/>
      <c r="J6" s="32" t="s">
        <v>39</v>
      </c>
      <c r="K6" s="33" t="s">
        <v>40</v>
      </c>
      <c r="L6" s="38" t="str">
        <f>HYPERLINK("https://www.sciencedirect.com/science/article/abs/pii/S0001457517302476","[3] Ahangari, Hamed, Carol Atkinson-Palombo, and Norman W. Garrick. “Automobile-Dependency as a Barrier to Vision Zero, Evidence from the States in the USA.” Accident Analysis &amp; Prevention 107 (October 1, 2017): 77–85. https://doi.org/10.1016/j.aap.2017.0"&amp;"7.012.")</f>
        <v>[3] Ahangari, Hamed, Carol Atkinson-Palombo, and Norman W. Garrick. “Automobile-Dependency as a Barrier to Vision Zero, Evidence from the States in the USA.” Accident Analysis &amp; Prevention 107 (October 1, 2017): 77–85. https://doi.org/10.1016/j.aap.2017.07.012.</v>
      </c>
      <c r="M6" s="34" t="s">
        <v>41</v>
      </c>
      <c r="N6" s="38" t="str">
        <f>HYPERLINK("https://www.sciencedirect.com/science/article/abs/pii/S2210539517301633?via%3Dihub","[4] Litman, Todd. “Toward More Comprehensive Evaluation of Traffic Risks and Safety Strategies.” Research in Transportation Business &amp; Management, Special Issue title: [RE]EVALUATING HOW WE VALUE TRANSPORTATION, 29 (December 1, 2018): 127–35. https://doi."&amp;"org/10.1016/j.rtbm.2019.01.003.")</f>
        <v>[4] Litman, Todd. “Toward More Comprehensive Evaluation of Traffic Risks and Safety Strategies.” Research in Transportation Business &amp; Management, Special Issue title: [RE]EVALUATING HOW WE VALUE TRANSPORTATION, 29 (December 1, 2018): 127–35. https://doi.org/10.1016/j.rtbm.2019.01.003.</v>
      </c>
      <c r="O6" s="34" t="s">
        <v>42</v>
      </c>
      <c r="P6" s="34"/>
      <c r="Q6" s="34"/>
      <c r="R6" s="34"/>
      <c r="S6" s="34"/>
      <c r="T6" s="34"/>
      <c r="U6" s="34"/>
      <c r="V6" s="34"/>
      <c r="W6" s="34"/>
      <c r="X6" s="34"/>
      <c r="Y6" s="34"/>
      <c r="Z6" s="34"/>
      <c r="AA6" s="34"/>
      <c r="AB6" s="34"/>
      <c r="AC6" s="34"/>
      <c r="AD6" s="34"/>
      <c r="AE6" s="34"/>
      <c r="AF6" s="34"/>
      <c r="AG6" s="34"/>
      <c r="AH6" s="34"/>
    </row>
    <row r="7" spans="1:34" ht="15.75">
      <c r="A7" s="37" t="s">
        <v>43</v>
      </c>
      <c r="B7" s="32" t="s">
        <v>44</v>
      </c>
      <c r="C7" s="32" t="s">
        <v>45</v>
      </c>
      <c r="D7" s="32" t="s">
        <v>46</v>
      </c>
      <c r="E7" s="32" t="s">
        <v>25</v>
      </c>
      <c r="F7" s="32"/>
      <c r="G7" s="32"/>
      <c r="H7" s="32"/>
      <c r="I7" s="34"/>
      <c r="J7" s="32"/>
      <c r="K7" s="33"/>
      <c r="L7" s="38" t="str">
        <f>HYPERLINK("https://pdfs.semanticscholar.org/3f1e/b273fcee888441147105882dd12ca811fd35.pdf","[5] Martin-Buck, Frank. “Driving Safety: An Empirical Analysis of Ridesharing’s Impact on Drunk Driving and Alcohol-Related Crime.” University of Texas at Austin Working Paper, 2017.")</f>
        <v>[5] Martin-Buck, Frank. “Driving Safety: An Empirical Analysis of Ridesharing’s Impact on Drunk Driving and Alcohol-Related Crime.” University of Texas at Austin Working Paper, 2017.</v>
      </c>
      <c r="M7" s="34" t="s">
        <v>47</v>
      </c>
      <c r="N7" s="38" t="str">
        <f>HYPERLINK("https://academicworks.cuny.edu/cgi/viewcontent.cgi?referer=https://scholar.google.com/&amp;httpsredir=1&amp;article=1012&amp;context=gc_econ_wp","[6] Peck, Jessica Lynn. “New York City Drunk Driving after Uber,” 2017.")</f>
        <v>[6] Peck, Jessica Lynn. “New York City Drunk Driving after Uber,” 2017.</v>
      </c>
      <c r="O7" s="34" t="s">
        <v>48</v>
      </c>
      <c r="P7" s="38" t="str">
        <f>HYPERLINK("https://academic.oup.com/aje/article/184/3/192/2195589","[7] Brazil, Noli, and David S. Kirk. “Uber and Metropolitan Traffic Fatalities in the United States.” American Journal of Epidemiology 184, no. 3 (August 1, 2016): 192–98. https://doi.org/10.1093/aje/kww062.")</f>
        <v>[7] Brazil, Noli, and David S. Kirk. “Uber and Metropolitan Traffic Fatalities in the United States.” American Journal of Epidemiology 184, no. 3 (August 1, 2016): 192–98. https://doi.org/10.1093/aje/kww062.</v>
      </c>
      <c r="Q7" s="34" t="s">
        <v>49</v>
      </c>
      <c r="R7" s="38" t="str">
        <f>HYPERLINK("https://onlinelibrary.wiley.com/doi/full/10.1002/soej.12255?casa_token=i2dCUIoGT2YAAAAA%3A0gba6_oy2Fcdt36WUdddcDsASGpBgXn166hAzDUvxqJrgE9pzfnn9lEv-iQGxtfkalFhdL_CWW1zQatKdQ","[8] Dills, Angela K., and Sean E. Mulholland. “Ride-Sharing, Fatal Crashes, and Crime.” Southern Economic Journal 84, no. 4 (2018): 965–91. https://doi.org/10.1002/soej.12255.")</f>
        <v>[8] Dills, Angela K., and Sean E. Mulholland. “Ride-Sharing, Fatal Crashes, and Crime.” Southern Economic Journal 84, no. 4 (2018): 965–91. https://doi.org/10.1002/soej.12255.</v>
      </c>
      <c r="S7" s="34" t="s">
        <v>50</v>
      </c>
      <c r="T7" s="34"/>
      <c r="U7" s="34"/>
      <c r="V7" s="34"/>
      <c r="W7" s="34"/>
      <c r="X7" s="34"/>
      <c r="Y7" s="34"/>
      <c r="Z7" s="34"/>
      <c r="AA7" s="34"/>
      <c r="AB7" s="34"/>
      <c r="AC7" s="34"/>
      <c r="AD7" s="34"/>
      <c r="AE7" s="34"/>
      <c r="AF7" s="34"/>
      <c r="AG7" s="34"/>
      <c r="AH7" s="34"/>
    </row>
    <row r="8" spans="1:34" ht="15.75">
      <c r="A8" s="37" t="s">
        <v>51</v>
      </c>
      <c r="B8" s="32" t="s">
        <v>52</v>
      </c>
      <c r="C8" s="32" t="s">
        <v>45</v>
      </c>
      <c r="D8" s="38" t="s">
        <v>53</v>
      </c>
      <c r="E8" s="32" t="s">
        <v>38</v>
      </c>
      <c r="F8" s="32" t="s">
        <v>27</v>
      </c>
      <c r="G8" s="32" t="s">
        <v>27</v>
      </c>
      <c r="H8" s="32" t="s">
        <v>54</v>
      </c>
      <c r="I8" s="32" t="s">
        <v>55</v>
      </c>
      <c r="J8" s="32" t="s">
        <v>56</v>
      </c>
      <c r="K8" s="33"/>
      <c r="L8" s="38" t="str">
        <f>HYPERLINK("https://calsta.ca.gov/-/media/calsta-media/documents/final-uc-its-research-synthesis-ab2363-a11y.pdf","[9] “Offer Grembek, Katherine Chen, Brian Taylor, Yu Hong Hwang, Dillon Fitch, Sonia Anthoine, Bingchu Chen, Salvador GroverResearch Synthesis for AB 2363 Zero Traffic Fatalities Task Force.” The University of California Institute of Transportation Studie"&amp;"s, December 31, 2019. https://calsta.ca.gov/-/media/calsta-media/documents/final-uc-its-research-synthesis-ab2363-a11y.pdf.")</f>
        <v>[9] “Offer Grembek, Katherine Chen, Brian Taylor, Yu Hong Hwang, Dillon Fitch, Sonia Anthoine, Bingchu Chen, Salvador GroverResearch Synthesis for AB 2363 Zero Traffic Fatalities Task Force.” The University of California Institute of Transportation Studies, December 31, 2019. https://calsta.ca.gov/-/media/calsta-media/documents/final-uc-its-research-synthesis-ab2363-a11y.pdf.</v>
      </c>
      <c r="M8" s="32" t="s">
        <v>57</v>
      </c>
      <c r="N8" s="38" t="str">
        <f>HYPERLINK("http://citeseerx.ist.psu.edu/viewdoc/download?doi=10.1.1.563.4185&amp;rep=rep1&amp;type=pdf","[10] A, Robert E. Mann, Scott Macdonald A, Gina Stoduto A, Susan Bondy B, Brian Jonah D, and Abdul Shaikh A. The Effects of Introducing or Lowering Legal per Se Blood Alcohol Limits for Driving: An International Review, 2000.")</f>
        <v>[10] A, Robert E. Mann, Scott Macdonald A, Gina Stoduto A, Susan Bondy B, Brian Jonah D, and Abdul Shaikh A. The Effects of Introducing or Lowering Legal per Se Blood Alcohol Limits for Driving: An International Review, 2000.</v>
      </c>
      <c r="O8" s="32" t="s">
        <v>58</v>
      </c>
      <c r="P8" s="34"/>
      <c r="Q8" s="34"/>
      <c r="R8" s="34"/>
      <c r="S8" s="34"/>
      <c r="T8" s="34"/>
      <c r="U8" s="34"/>
      <c r="V8" s="34"/>
      <c r="W8" s="34"/>
      <c r="X8" s="34"/>
      <c r="Y8" s="34"/>
      <c r="Z8" s="34"/>
      <c r="AA8" s="34"/>
      <c r="AB8" s="34"/>
      <c r="AC8" s="34"/>
      <c r="AD8" s="34"/>
      <c r="AE8" s="34"/>
      <c r="AF8" s="34"/>
      <c r="AG8" s="34"/>
      <c r="AH8" s="34"/>
    </row>
    <row r="9" spans="1:34" ht="15.75">
      <c r="A9" s="37" t="s">
        <v>59</v>
      </c>
      <c r="B9" s="32" t="s">
        <v>60</v>
      </c>
      <c r="C9" s="32" t="s">
        <v>38</v>
      </c>
      <c r="D9" s="38" t="s">
        <v>61</v>
      </c>
      <c r="E9" s="32" t="s">
        <v>38</v>
      </c>
      <c r="F9" s="32" t="s">
        <v>25</v>
      </c>
      <c r="G9" s="32" t="s">
        <v>27</v>
      </c>
      <c r="H9" s="32" t="s">
        <v>62</v>
      </c>
      <c r="I9" s="34"/>
      <c r="J9" s="32" t="s">
        <v>63</v>
      </c>
      <c r="K9" s="33"/>
      <c r="L9" s="38" t="s">
        <v>64</v>
      </c>
      <c r="M9" s="34" t="s">
        <v>65</v>
      </c>
      <c r="N9" s="38" t="s">
        <v>66</v>
      </c>
      <c r="O9" s="34" t="s">
        <v>67</v>
      </c>
      <c r="P9" s="34"/>
      <c r="Q9" s="34"/>
      <c r="R9" s="34"/>
      <c r="S9" s="34"/>
      <c r="T9" s="34"/>
      <c r="U9" s="34"/>
      <c r="V9" s="34"/>
      <c r="W9" s="34"/>
      <c r="X9" s="34"/>
      <c r="Y9" s="34"/>
      <c r="Z9" s="34"/>
      <c r="AA9" s="34"/>
      <c r="AB9" s="34"/>
      <c r="AC9" s="34"/>
      <c r="AD9" s="34"/>
      <c r="AE9" s="34"/>
      <c r="AF9" s="34"/>
      <c r="AG9" s="34"/>
      <c r="AH9" s="34"/>
    </row>
    <row r="10" spans="1:34" ht="15.75">
      <c r="A10" s="37" t="s">
        <v>68</v>
      </c>
      <c r="B10" s="32" t="s">
        <v>69</v>
      </c>
      <c r="C10" s="32" t="s">
        <v>38</v>
      </c>
      <c r="D10" s="34" t="s">
        <v>70</v>
      </c>
      <c r="E10" s="32" t="s">
        <v>25</v>
      </c>
      <c r="F10" s="32" t="s">
        <v>25</v>
      </c>
      <c r="G10" s="32"/>
      <c r="H10" s="34"/>
      <c r="I10" s="34"/>
      <c r="J10" s="32"/>
      <c r="K10" s="33" t="s">
        <v>71</v>
      </c>
      <c r="L10" s="38" t="str">
        <f>HYPERLINK("https://trid.trb.org/view/1277118","Estey, Mike. “Overnight Options.” Parking Professional 29, no. 11 (November 2013). https://trid.trb.org/view/1277118.")</f>
        <v>Estey, Mike. “Overnight Options.” Parking Professional 29, no. 11 (November 2013). https://trid.trb.org/view/1277118.</v>
      </c>
      <c r="M10" s="34"/>
      <c r="N10" s="34"/>
      <c r="O10" s="34"/>
      <c r="P10" s="34"/>
      <c r="Q10" s="34"/>
      <c r="R10" s="34"/>
      <c r="S10" s="34"/>
      <c r="T10" s="34"/>
      <c r="U10" s="34"/>
      <c r="V10" s="34"/>
      <c r="W10" s="34"/>
      <c r="X10" s="34"/>
      <c r="Y10" s="34"/>
      <c r="Z10" s="34"/>
      <c r="AA10" s="34"/>
      <c r="AB10" s="34"/>
      <c r="AC10" s="34"/>
      <c r="AD10" s="34"/>
      <c r="AE10" s="34"/>
      <c r="AF10" s="34"/>
      <c r="AG10" s="34"/>
      <c r="AH10" s="34"/>
    </row>
    <row r="11" spans="1:34" ht="15.75">
      <c r="A11" s="37" t="s">
        <v>72</v>
      </c>
      <c r="B11" s="32" t="s">
        <v>73</v>
      </c>
      <c r="C11" s="32" t="s">
        <v>38</v>
      </c>
      <c r="D11" s="34" t="s">
        <v>74</v>
      </c>
      <c r="E11" s="32" t="s">
        <v>38</v>
      </c>
      <c r="F11" s="32" t="s">
        <v>25</v>
      </c>
      <c r="G11" s="32" t="s">
        <v>75</v>
      </c>
      <c r="H11" s="32" t="s">
        <v>76</v>
      </c>
      <c r="I11" s="32" t="s">
        <v>77</v>
      </c>
      <c r="J11" s="32" t="s">
        <v>78</v>
      </c>
      <c r="K11" s="33"/>
      <c r="L11" s="38" t="str">
        <f>HYPERLINK("https://www.jstor.org/stable/1602826?casa_token=_nEj29vrkuQAAAAA:2Iaa0s1JtagLOLYKwAVcsMCufnidk6Redn_gs3DKBPIvygSiONhi-3wSpiAipu__xTvcJR8GKMjzeOOw3NwpQwlz-8ZYEj1wNPLMtfTi83-WX-E4PSEqxQ&amp;seq=1#metadata_info_tab_contents","[14] Klassen, Terry P., J. Morag MacKay, David Moher, Annie Walker, and Alison L. Jones. “Community-Based Injury Prevention Interventions.” The Future of Children 10, no. 1 (2000): 83–110. https://doi.org/10.2307/1602826.")</f>
        <v>[14] Klassen, Terry P., J. Morag MacKay, David Moher, Annie Walker, and Alison L. Jones. “Community-Based Injury Prevention Interventions.” The Future of Children 10, no. 1 (2000): 83–110. https://doi.org/10.2307/1602826.</v>
      </c>
      <c r="M11" s="34" t="s">
        <v>79</v>
      </c>
      <c r="N11" s="34" t="s">
        <v>80</v>
      </c>
      <c r="O11" s="32" t="s">
        <v>81</v>
      </c>
      <c r="P11" s="38" t="str">
        <f>HYPERLINK("https://www.cycle-helmets.com/robinson_bmj.pdf","[16] Robinson, DL. “Do Enforced Bicycle Helmet Laws Improve Public Health.” British Medical Journal 332, no. 7543 (2006): 722–722.")</f>
        <v>[16] Robinson, DL. “Do Enforced Bicycle Helmet Laws Improve Public Health.” British Medical Journal 332, no. 7543 (2006): 722–722.</v>
      </c>
      <c r="Q11" s="32"/>
      <c r="R11" s="38" t="str">
        <f>HYPERLINK("https://www.cochranelibrary.com/cdsr/doi/10.1002/14651858.CD005401.pub3/abstract?cookiesEnabled","Macpherson, Alison, and Anneliese Spinks. “Bicycle Helmet Legislation for the Uptake of Helmet Use and Prevention of Head Injuries.” Cochrane Database of Systematic Reviews, no. 3 (2008). https://doi.org/10.1002/14651858.CD005401.pub3.")</f>
        <v>Macpherson, Alison, and Anneliese Spinks. “Bicycle Helmet Legislation for the Uptake of Helmet Use and Prevention of Head Injuries.” Cochrane Database of Systematic Reviews, no. 3 (2008). https://doi.org/10.1002/14651858.CD005401.pub3.</v>
      </c>
      <c r="S11" s="32" t="s">
        <v>82</v>
      </c>
      <c r="T11" s="34"/>
      <c r="U11" s="34"/>
      <c r="V11" s="34"/>
      <c r="W11" s="34"/>
      <c r="X11" s="34"/>
      <c r="Y11" s="34"/>
      <c r="Z11" s="34"/>
      <c r="AA11" s="34"/>
      <c r="AB11" s="34"/>
      <c r="AC11" s="34"/>
      <c r="AD11" s="34"/>
      <c r="AE11" s="34"/>
      <c r="AF11" s="34"/>
      <c r="AG11" s="34"/>
      <c r="AH11" s="34"/>
    </row>
    <row r="12" spans="1:34" ht="29.25" customHeight="1">
      <c r="A12" s="61" t="s">
        <v>83</v>
      </c>
      <c r="B12" s="62"/>
      <c r="C12" s="62"/>
      <c r="D12" s="62"/>
      <c r="E12" s="62"/>
      <c r="F12" s="62"/>
      <c r="G12" s="62"/>
      <c r="H12" s="62"/>
      <c r="I12" s="62"/>
      <c r="J12" s="63"/>
      <c r="K12" s="35"/>
      <c r="L12" s="36"/>
      <c r="M12" s="36"/>
      <c r="N12" s="36"/>
      <c r="O12" s="36"/>
      <c r="P12" s="36"/>
      <c r="Q12" s="36"/>
      <c r="R12" s="36"/>
      <c r="S12" s="36"/>
      <c r="T12" s="36"/>
      <c r="U12" s="36"/>
      <c r="V12" s="26"/>
      <c r="W12" s="26"/>
      <c r="X12" s="26"/>
      <c r="Y12" s="26"/>
      <c r="Z12" s="26"/>
      <c r="AA12" s="26"/>
      <c r="AB12" s="26"/>
      <c r="AC12" s="26"/>
      <c r="AD12" s="26"/>
      <c r="AE12" s="26"/>
      <c r="AF12" s="26"/>
      <c r="AG12" s="26"/>
      <c r="AH12" s="26"/>
    </row>
    <row r="13" spans="1:34" ht="24.75" customHeight="1">
      <c r="A13" s="66" t="s">
        <v>84</v>
      </c>
      <c r="B13" s="62"/>
      <c r="C13" s="62"/>
      <c r="D13" s="62"/>
      <c r="E13" s="62"/>
      <c r="F13" s="62"/>
      <c r="G13" s="62"/>
      <c r="H13" s="62"/>
      <c r="I13" s="62"/>
      <c r="J13" s="63"/>
      <c r="K13" s="41"/>
      <c r="L13" s="42"/>
      <c r="M13" s="42"/>
      <c r="N13" s="42"/>
      <c r="O13" s="42"/>
      <c r="P13" s="42"/>
      <c r="Q13" s="42"/>
      <c r="R13" s="42"/>
      <c r="S13" s="42"/>
      <c r="T13" s="42"/>
      <c r="U13" s="42"/>
      <c r="V13" s="32"/>
      <c r="W13" s="32"/>
      <c r="X13" s="32"/>
      <c r="Y13" s="32"/>
      <c r="Z13" s="32"/>
      <c r="AA13" s="32"/>
      <c r="AB13" s="32"/>
      <c r="AC13" s="32"/>
      <c r="AD13" s="32"/>
      <c r="AE13" s="32"/>
      <c r="AF13" s="32"/>
      <c r="AG13" s="32"/>
      <c r="AH13" s="32"/>
    </row>
    <row r="14" spans="1:34" ht="15.75" outlineLevel="1">
      <c r="A14" s="43" t="s">
        <v>85</v>
      </c>
      <c r="B14" s="32" t="s">
        <v>86</v>
      </c>
      <c r="C14" s="32" t="s">
        <v>36</v>
      </c>
      <c r="D14" s="34" t="s">
        <v>87</v>
      </c>
      <c r="E14" s="32" t="s">
        <v>25</v>
      </c>
      <c r="F14" s="32" t="s">
        <v>25</v>
      </c>
      <c r="G14" s="32" t="s">
        <v>88</v>
      </c>
      <c r="H14" s="32" t="s">
        <v>89</v>
      </c>
      <c r="I14" s="32"/>
      <c r="J14" s="32" t="s">
        <v>90</v>
      </c>
      <c r="K14" s="33" t="s">
        <v>91</v>
      </c>
      <c r="L14" s="38" t="str">
        <f>HYPERLINK("https://safety.fhwa.dot.gov/ped_bike/tools_solve/ped_tctpepc/","[17] “Toolbox of Countermeasures and Their Potential Effectiveness for Pedestrian Crashes - Safety | Federal Highway Administration,” May 2008. https://safety.fhwa.dot.gov/ped_bike/tools_solve/ped_tctpepc/.")</f>
        <v>[17] “Toolbox of Countermeasures and Their Potential Effectiveness for Pedestrian Crashes - Safety | Federal Highway Administration,” May 2008. https://safety.fhwa.dot.gov/ped_bike/tools_solve/ped_tctpepc/.</v>
      </c>
      <c r="M14" s="34"/>
      <c r="N14" s="38" t="str">
        <f>HYPERLINK("https://pdfs.semanticscholar.org/9e83/99445c0675f4cf75368941c293fb3c6c370e.pdf","[18] Gan, Albert, Joan Shen, and Adriana Rodriguez. “Update of Florida Crash Reduction Factors and Countermeasures to Improve the Development of District Safety Improvement Projects.” Florida Department of Transportation Tallahassee, 2005.")</f>
        <v>[18] Gan, Albert, Joan Shen, and Adriana Rodriguez. “Update of Florida Crash Reduction Factors and Countermeasures to Improve the Development of District Safety Improvement Projects.” Florida Department of Transportation Tallahassee, 2005.</v>
      </c>
      <c r="O14" s="34"/>
      <c r="P14" s="34"/>
      <c r="Q14" s="34"/>
      <c r="R14" s="32"/>
      <c r="S14" s="32"/>
      <c r="T14" s="32"/>
      <c r="U14" s="32"/>
      <c r="V14" s="32"/>
      <c r="W14" s="32"/>
      <c r="X14" s="32"/>
      <c r="Y14" s="32"/>
      <c r="Z14" s="32"/>
      <c r="AA14" s="32"/>
      <c r="AB14" s="32"/>
      <c r="AC14" s="32"/>
      <c r="AD14" s="32"/>
      <c r="AE14" s="32"/>
      <c r="AF14" s="32"/>
      <c r="AG14" s="32"/>
      <c r="AH14" s="32"/>
    </row>
    <row r="15" spans="1:34" ht="15.75" outlineLevel="1">
      <c r="A15" s="43" t="s">
        <v>92</v>
      </c>
      <c r="B15" s="32" t="s">
        <v>93</v>
      </c>
      <c r="C15" s="32" t="s">
        <v>36</v>
      </c>
      <c r="D15" s="38" t="str">
        <f>HYPERLINK("https://journals.sagepub.com/doi/abs/10.3141/2519-16?casa_token=Y4Yz_sfsUIkAAAAA:N5jrBDd6KNJIeH1S7Te17dXEocoY3lwQ9XBuNUuyGhlRpWY3ycPNPcITLYWCIYs2IJWyFn0_5VFhQzI","CMF: N/A. - 14% and 7% decreases in speeds;
reduced overall severity rate, statistically significant increase in yielding
and increase in yielding distance. ")</f>
        <v xml:space="preserve">CMF: N/A. - 14% and 7% decreases in speeds;
reduced overall severity rate, statistically significant increase in yielding
and increase in yielding distance. </v>
      </c>
      <c r="E15" s="32" t="s">
        <v>25</v>
      </c>
      <c r="F15" s="32" t="s">
        <v>25</v>
      </c>
      <c r="G15" s="32" t="s">
        <v>25</v>
      </c>
      <c r="H15" s="32" t="s">
        <v>89</v>
      </c>
      <c r="I15" s="32"/>
      <c r="J15" s="32" t="s">
        <v>94</v>
      </c>
      <c r="K15" s="33" t="s">
        <v>95</v>
      </c>
      <c r="L15" s="38" t="str">
        <f>HYPERLINK("http://pedbikesafe.org/PEDSAFE/countermeasures_detail.cfm?CM_NUM=5","[19] “Pedestrian Safety Guide and Countermeasure Selection System.” Accessed March 19, 2020. http://pedbikesafe.org/PEDSAFE/countermeasures_detail.cfm?CM_NUM=5.")</f>
        <v>[19] “Pedestrian Safety Guide and Countermeasure Selection System.” Accessed March 19, 2020. http://pedbikesafe.org/PEDSAFE/countermeasures_detail.cfm?CM_NUM=5.</v>
      </c>
      <c r="M15" s="34" t="s">
        <v>96</v>
      </c>
      <c r="N15" s="38" t="str">
        <f>HYPERLINK("https://journals.sagepub.com/doi/abs/10.3141/2519-16?casa_token=Y4Yz_sfsUIkAAAAA:N5jrBDd6KNJIeH1S7Te17dXEocoY3lwQ9XBuNUuyGhlRpWY3ycPNPcITLYWCIYs2IJWyFn0_5VFhQzI","[20] Kronenberg, Chava, Lucas Woodward, Brooke DuBose, and Dana Weissman. “Achieving Vision Zero: Data-Driven Investment Strategy to Eliminate Pedestrian Fatalities on a Citywide Level.” Transportation Research Record 2519, no. 1 (2015): 146–56.")</f>
        <v>[20] Kronenberg, Chava, Lucas Woodward, Brooke DuBose, and Dana Weissman. “Achieving Vision Zero: Data-Driven Investment Strategy to Eliminate Pedestrian Fatalities on a Citywide Level.” Transportation Research Record 2519, no. 1 (2015): 146–56.</v>
      </c>
      <c r="O15" s="34"/>
      <c r="P15" s="34"/>
      <c r="Q15" s="34"/>
      <c r="R15" s="32"/>
      <c r="S15" s="32"/>
      <c r="T15" s="32"/>
      <c r="U15" s="32"/>
      <c r="V15" s="32"/>
      <c r="W15" s="32"/>
      <c r="X15" s="32"/>
      <c r="Y15" s="32"/>
      <c r="Z15" s="32"/>
      <c r="AA15" s="32"/>
      <c r="AB15" s="32"/>
      <c r="AC15" s="32"/>
      <c r="AD15" s="32"/>
      <c r="AE15" s="32"/>
      <c r="AF15" s="32"/>
      <c r="AG15" s="32"/>
      <c r="AH15" s="32"/>
    </row>
    <row r="16" spans="1:34" ht="15.75" outlineLevel="1">
      <c r="A16" s="43" t="s">
        <v>97</v>
      </c>
      <c r="B16" s="32" t="s">
        <v>98</v>
      </c>
      <c r="C16" s="32" t="s">
        <v>24</v>
      </c>
      <c r="D16" s="34" t="s">
        <v>99</v>
      </c>
      <c r="E16" s="32" t="s">
        <v>25</v>
      </c>
      <c r="F16" s="32" t="s">
        <v>25</v>
      </c>
      <c r="G16" s="32" t="s">
        <v>100</v>
      </c>
      <c r="H16" s="32" t="s">
        <v>101</v>
      </c>
      <c r="I16" s="32" t="s">
        <v>102</v>
      </c>
      <c r="J16" s="32" t="s">
        <v>103</v>
      </c>
      <c r="K16" s="33" t="s">
        <v>31</v>
      </c>
      <c r="L16" s="38" t="str">
        <f>HYPERLINK("https://journals.sagepub.com/doi/abs/10.3141/2519-16?casa_token=Y4Yz_sfsUIkAAAAA:N5jrBDd6KNJIeH1S7Te17dXEocoY3lwQ9XBuNUuyGhlRpWY3ycPNPcITLYWCIYs2IJWyFn0_5VFhQzI","[21] Kronenberg, Chava, Lucas Woodward, Brooke DuBose, and Dana Weissman. “Achieving Vision Zero: Data-Driven Investment Strategy to Eliminate Pedestrian Fatalities on a Citywide Level.” Transportation Research Record 2519, no. 1 (2015): 146–56.")</f>
        <v>[21] Kronenberg, Chava, Lucas Woodward, Brooke DuBose, and Dana Weissman. “Achieving Vision Zero: Data-Driven Investment Strategy to Eliminate Pedestrian Fatalities on a Citywide Level.” Transportation Research Record 2519, no. 1 (2015): 146–56.</v>
      </c>
      <c r="M16" s="34"/>
      <c r="N16" s="38" t="str">
        <f>HYPERLINK("https://journals.sagepub.com/doi/abs/10.3141/2198-02?casa_token=pCCk_LTXqCwAAAAA:KzIXQzp2QnKDqyXhU2r-Pq9NTzJGxtC5ZU5Vvn_Ei9jYk3nj-HkeglC64BQKZlsz5z5k9bH_-1i4-Jg","[22] Feldman, Mark, Jessica Greig Manzi, and Meghan Fehlig Mitman. “Empirical Bayesian Evaluation of Safety Effects of High-Visibility School (Yellow) Crosswalks in San Francisco, California.” Transportation Research Record 2198, no. 1 (January 1, 2010): "&amp;"8–14. https://doi.org/10.3141/2198-02.")</f>
        <v>[22] Feldman, Mark, Jessica Greig Manzi, and Meghan Fehlig Mitman. “Empirical Bayesian Evaluation of Safety Effects of High-Visibility School (Yellow) Crosswalks in San Francisco, California.” Transportation Research Record 2198, no. 1 (January 1, 2010): 8–14. https://doi.org/10.3141/2198-02.</v>
      </c>
      <c r="O16" s="34" t="s">
        <v>104</v>
      </c>
      <c r="P16" s="38" t="str">
        <f>HYPERLINK("https://safety.fhwa.dot.gov/ped_bike/step/docs/TechSheet_VizEnhancemt_508compliant.pdf","[23] “Crosswalk Visibility Enhancements.” US Department of Transportation, Federal Highway Administration, June 2018. https://safety.fhwa.dot.gov/ped_bike/step/docs/TechSheet_VizEnhancemt_508compliant.pdf.")</f>
        <v>[23] “Crosswalk Visibility Enhancements.” US Department of Transportation, Federal Highway Administration, June 2018. https://safety.fhwa.dot.gov/ped_bike/step/docs/TechSheet_VizEnhancemt_508compliant.pdf.</v>
      </c>
      <c r="Q16" s="34" t="s">
        <v>105</v>
      </c>
      <c r="R16" s="32"/>
      <c r="S16" s="32"/>
      <c r="T16" s="32"/>
      <c r="U16" s="32"/>
      <c r="V16" s="32"/>
      <c r="W16" s="32"/>
      <c r="X16" s="32"/>
      <c r="Y16" s="32"/>
      <c r="Z16" s="32"/>
      <c r="AA16" s="32"/>
      <c r="AB16" s="32"/>
      <c r="AC16" s="32"/>
      <c r="AD16" s="32"/>
      <c r="AE16" s="32"/>
      <c r="AF16" s="32"/>
      <c r="AG16" s="32"/>
      <c r="AH16" s="32"/>
    </row>
    <row r="17" spans="1:34" ht="15.75" outlineLevel="1">
      <c r="A17" s="44" t="s">
        <v>106</v>
      </c>
      <c r="B17" s="32" t="s">
        <v>107</v>
      </c>
      <c r="C17" s="32" t="s">
        <v>24</v>
      </c>
      <c r="D17" s="34" t="s">
        <v>108</v>
      </c>
      <c r="E17" s="32" t="s">
        <v>25</v>
      </c>
      <c r="F17" s="32" t="s">
        <v>25</v>
      </c>
      <c r="G17" s="32"/>
      <c r="H17" s="39" t="s">
        <v>109</v>
      </c>
      <c r="I17" s="39" t="s">
        <v>110</v>
      </c>
      <c r="J17" s="34"/>
      <c r="K17" s="33" t="s">
        <v>111</v>
      </c>
      <c r="L17" s="38" t="str">
        <f>HYPERLINK("http://www.nyc.gov/html/dot/downloads/pdf/broadway_report_final2010_web.pdf","[24] “Green Light for Midtown Evaluation Report.” New York City Department of Transportation, January 2010. http://www.nyc.gov/html/dot/downloads/pdf/broadway_report_final2010_web.pdf.")</f>
        <v>[24] “Green Light for Midtown Evaluation Report.” New York City Department of Transportation, January 2010. http://www.nyc.gov/html/dot/downloads/pdf/broadway_report_final2010_web.pdf.</v>
      </c>
      <c r="M17" s="32" t="s">
        <v>112</v>
      </c>
      <c r="N17" s="38" t="str">
        <f>HYPERLINK("https://www.vtpi.org/tdm/tdm33.htm","[25] “Online TDM Encyclopedia - Vehicle Restrictions.” Victoria Transport Policy Institute, May 2014. https://www.vtpi.org/tdm/tdm33.htm.")</f>
        <v>[25] “Online TDM Encyclopedia - Vehicle Restrictions.” Victoria Transport Policy Institute, May 2014. https://www.vtpi.org/tdm/tdm33.htm.</v>
      </c>
      <c r="O17" s="32"/>
      <c r="P17" s="38" t="str">
        <f>HYPERLINK("https://www.breckland.gov.uk/media/9100/EX-49A-IFC-entire-1249310484016/pdf/EX.49A_IFC_entire_1249310484016.pdf","[26] Institute of Highways &amp; Transportation. Guidelines for Providing for Journeys on Foot. Institution of Highways and Transportation, 2000.")</f>
        <v>[26] Institute of Highways &amp; Transportation. Guidelines for Providing for Journeys on Foot. Institution of Highways and Transportation, 2000.</v>
      </c>
      <c r="Q17" s="34" t="s">
        <v>113</v>
      </c>
      <c r="R17" s="38" t="s">
        <v>114</v>
      </c>
      <c r="S17" s="34"/>
      <c r="T17" s="34"/>
      <c r="U17" s="34"/>
      <c r="V17" s="34"/>
      <c r="W17" s="34"/>
      <c r="X17" s="34"/>
      <c r="Y17" s="34"/>
      <c r="Z17" s="34"/>
      <c r="AA17" s="34"/>
      <c r="AB17" s="34"/>
      <c r="AC17" s="34"/>
      <c r="AD17" s="34"/>
      <c r="AE17" s="34"/>
      <c r="AF17" s="34"/>
      <c r="AG17" s="34"/>
      <c r="AH17" s="34"/>
    </row>
    <row r="18" spans="1:34" ht="15.75" outlineLevel="1">
      <c r="A18" s="43" t="s">
        <v>115</v>
      </c>
      <c r="B18" s="32" t="s">
        <v>116</v>
      </c>
      <c r="C18" s="32" t="s">
        <v>24</v>
      </c>
      <c r="D18" s="34" t="s">
        <v>117</v>
      </c>
      <c r="E18" s="32" t="s">
        <v>25</v>
      </c>
      <c r="F18" s="32" t="s">
        <v>25</v>
      </c>
      <c r="G18" s="32"/>
      <c r="H18" s="32" t="s">
        <v>118</v>
      </c>
      <c r="I18" s="32" t="s">
        <v>119</v>
      </c>
      <c r="J18" s="32"/>
      <c r="K18" s="33" t="s">
        <v>95</v>
      </c>
      <c r="L18" s="38" t="str">
        <f>HYPERLINK("http://www.cmfclearinghouse.org/studydocs/FDOT-BDK78-977-14-rpt.pdf","[28] Abdel-Aty, Mohamed A, Chris Lee, Juneyoung Park, Jung-Han Wang, Muamer Abuzwidah, and Saif Al-Arifi. “VALIDATION AND APPLICATION OF HIGHWAY SAFETY MANUAL (PART D) IN FLORIDA.” University of Central Florida Department of Civil, Environmental &amp; Constru"&amp;"ction Engineering, May 2014.")</f>
        <v>[28] Abdel-Aty, Mohamed A, Chris Lee, Juneyoung Park, Jung-Han Wang, Muamer Abuzwidah, and Saif Al-Arifi. “VALIDATION AND APPLICATION OF HIGHWAY SAFETY MANUAL (PART D) IN FLORIDA.” University of Central Florida Department of Civil, Environmental &amp; Construction Engineering, May 2014.</v>
      </c>
      <c r="M18" s="34"/>
      <c r="N18" s="38" t="str">
        <f>HYPERLINK("https://safety.fhwa.dot.gov/provencountermeasures/road_diets/","[29] “Proven Safety Countermeasures - Road Diets - (Roadway Reconfiguration) - Safety | Federal Highway Administration,” October 18, 2017. https://safety.fhwa.dot.gov/provencountermeasures/road_diets/.")</f>
        <v>[29] “Proven Safety Countermeasures - Road Diets - (Roadway Reconfiguration) - Safety | Federal Highway Administration,” October 18, 2017. https://safety.fhwa.dot.gov/provencountermeasures/road_diets/.</v>
      </c>
      <c r="O18" s="34" t="s">
        <v>120</v>
      </c>
      <c r="P18" s="34"/>
      <c r="Q18" s="34"/>
      <c r="R18" s="32"/>
      <c r="S18" s="32"/>
      <c r="T18" s="32"/>
      <c r="U18" s="32"/>
      <c r="V18" s="32"/>
      <c r="W18" s="32"/>
      <c r="X18" s="32"/>
      <c r="Y18" s="32"/>
      <c r="Z18" s="32"/>
      <c r="AA18" s="32"/>
      <c r="AB18" s="32"/>
      <c r="AC18" s="32"/>
      <c r="AD18" s="32"/>
      <c r="AE18" s="32"/>
      <c r="AF18" s="32"/>
      <c r="AG18" s="32"/>
      <c r="AH18" s="32"/>
    </row>
    <row r="19" spans="1:34" ht="15.75" customHeight="1" outlineLevel="1">
      <c r="A19" s="43" t="s">
        <v>121</v>
      </c>
      <c r="B19" s="32" t="s">
        <v>122</v>
      </c>
      <c r="C19" s="32" t="s">
        <v>24</v>
      </c>
      <c r="D19" s="34" t="s">
        <v>123</v>
      </c>
      <c r="E19" s="32" t="s">
        <v>25</v>
      </c>
      <c r="F19" s="32"/>
      <c r="G19" s="32"/>
      <c r="H19" s="32"/>
      <c r="I19" s="32"/>
      <c r="J19" s="32"/>
      <c r="K19" s="33"/>
      <c r="L19" s="38" t="str">
        <f>HYPERLINK("https://trid.trb.org/view/1287296","[30] Wang, Jung-Han, and Mohamed A Abdel-Aty. “Comparison of Safety Evaluation Approaches for Intersection Signalization in Florida,” 2014.")</f>
        <v>[30] Wang, Jung-Han, and Mohamed A Abdel-Aty. “Comparison of Safety Evaluation Approaches for Intersection Signalization in Florida,” 2014.</v>
      </c>
      <c r="M19" s="34"/>
      <c r="N19" s="34" t="s">
        <v>124</v>
      </c>
      <c r="O19" s="34"/>
      <c r="P19" s="34"/>
      <c r="Q19" s="34"/>
      <c r="R19" s="32"/>
      <c r="S19" s="32"/>
      <c r="T19" s="32"/>
      <c r="U19" s="32"/>
      <c r="V19" s="32"/>
      <c r="W19" s="32"/>
      <c r="X19" s="32"/>
      <c r="Y19" s="32"/>
      <c r="Z19" s="32"/>
      <c r="AA19" s="32"/>
      <c r="AB19" s="32"/>
      <c r="AC19" s="32"/>
      <c r="AD19" s="32"/>
      <c r="AE19" s="32"/>
      <c r="AF19" s="32"/>
      <c r="AG19" s="32"/>
      <c r="AH19" s="32"/>
    </row>
    <row r="20" spans="1:34" ht="15.75" outlineLevel="1">
      <c r="A20" s="43" t="s">
        <v>125</v>
      </c>
      <c r="B20" s="32" t="s">
        <v>126</v>
      </c>
      <c r="C20" s="32" t="s">
        <v>36</v>
      </c>
      <c r="D20" s="34" t="s">
        <v>127</v>
      </c>
      <c r="E20" s="32" t="s">
        <v>25</v>
      </c>
      <c r="F20" s="32" t="s">
        <v>25</v>
      </c>
      <c r="G20" s="32" t="s">
        <v>88</v>
      </c>
      <c r="H20" s="32" t="s">
        <v>128</v>
      </c>
      <c r="I20" s="32" t="s">
        <v>129</v>
      </c>
      <c r="J20" s="32" t="s">
        <v>130</v>
      </c>
      <c r="K20" s="33"/>
      <c r="L20" s="38" t="str">
        <f>HYPERLINK("http://www.cmfclearinghouse.org/studydocs/FDOT-BDK78-977-14-rpt.pdf","[32] Abdel-Aty, Mohamed A, Chris Lee, Juneyoung Park, Jung-Han Wang, Muamer Abuzwidah, and Saif Al-Arifi. “VALIDATION AND APPLICATION OF HIGHWAY SAFETY MANUAL (PART D) IN FLORIDA.” University of Central Florida Department of Civil, Environmental &amp; Constru"&amp;"ction Engineering, May 2014.")</f>
        <v>[32] Abdel-Aty, Mohamed A, Chris Lee, Juneyoung Park, Jung-Han Wang, Muamer Abuzwidah, and Saif Al-Arifi. “VALIDATION AND APPLICATION OF HIGHWAY SAFETY MANUAL (PART D) IN FLORIDA.” University of Central Florida Department of Civil, Environmental &amp; Construction Engineering, May 2014.</v>
      </c>
      <c r="M20" s="34" t="s">
        <v>131</v>
      </c>
      <c r="N20" s="38" t="s">
        <v>132</v>
      </c>
      <c r="O20" s="34" t="s">
        <v>133</v>
      </c>
      <c r="P20" s="38"/>
      <c r="Q20" s="45"/>
      <c r="R20" s="32"/>
      <c r="S20" s="32"/>
      <c r="T20" s="32"/>
      <c r="U20" s="32"/>
      <c r="V20" s="32"/>
      <c r="W20" s="32"/>
      <c r="X20" s="32"/>
      <c r="Y20" s="32"/>
      <c r="Z20" s="32"/>
      <c r="AA20" s="32"/>
      <c r="AB20" s="32"/>
      <c r="AC20" s="32"/>
      <c r="AD20" s="32"/>
      <c r="AE20" s="32"/>
      <c r="AF20" s="32"/>
      <c r="AG20" s="32"/>
      <c r="AH20" s="32"/>
    </row>
    <row r="21" spans="1:34" ht="15.75" outlineLevel="1">
      <c r="A21" s="44" t="s">
        <v>134</v>
      </c>
      <c r="B21" s="32" t="s">
        <v>135</v>
      </c>
      <c r="C21" s="32" t="s">
        <v>36</v>
      </c>
      <c r="D21" s="34" t="s">
        <v>136</v>
      </c>
      <c r="E21" s="32" t="s">
        <v>25</v>
      </c>
      <c r="F21" s="32" t="s">
        <v>25</v>
      </c>
      <c r="G21" s="32" t="s">
        <v>27</v>
      </c>
      <c r="H21" s="39" t="s">
        <v>28</v>
      </c>
      <c r="I21" s="40" t="s">
        <v>29</v>
      </c>
      <c r="J21" s="32" t="s">
        <v>30</v>
      </c>
      <c r="K21" s="33" t="s">
        <v>31</v>
      </c>
      <c r="L21" s="38" t="str">
        <f>HYPERLINK("https://www.tandfonline.com/doi/full/10.1080/01944361003622688?casa_token=bCEQQu23oLsAAAAA%3AuEFJ3mitiQQQ11nmio2ygrPsziSTfIKZXsOL5UZ8ALwXr3HDOJ-TskSeYuEY2Lm14EShu_GoKBIAZEQ","[34]vBiddulph, Mike. “Evaluating the English Home Zone Initiatives.” Journal of the American Planning Association 76, no. 2 (2010): 199–218.")</f>
        <v>[34]vBiddulph, Mike. “Evaluating the English Home Zone Initiatives.” Journal of the American Planning Association 76, no. 2 (2010): 199–218.</v>
      </c>
      <c r="M21" s="34"/>
      <c r="N21" s="38" t="str">
        <f>HYPERLINK("http://visionzeronetwork.org/wp-content/uploads/2017/05/VisionZero_Equity.pdf","[35] Jenn Fox, and Leah Shahum. “Vision Zero Equity Strategies for Practitioners.” VISIONZERONETWORK.ORG. Accessed March 19, 2020. http://visionzeronetwork.org/wp-content/uploads/2017/05/VisionZero_Equity.pdf.
")</f>
        <v xml:space="preserve">[35] Jenn Fox, and Leah Shahum. “Vision Zero Equity Strategies for Practitioners.” VISIONZERONETWORK.ORG. Accessed March 19, 2020. http://visionzeronetwork.org/wp-content/uploads/2017/05/VisionZero_Equity.pdf.
</v>
      </c>
      <c r="O21" s="32" t="s">
        <v>137</v>
      </c>
      <c r="P21" s="38" t="str">
        <f>HYPERLINK("https://www.nzta.govt.nz/assets/resources/research/reports/438/docs/438.pdf","[36] Carolyn O‘Fallon, and Charles Sullivan. “Research Report 438 Slow Zones: Their Impact on Mode Choices and Travel Behaviour | NZ Transport Agency.” NZ Transport Agency research report 438, March 2011. https://www.nzta.govt.nz/resources/research/report"&amp;"s/438.")</f>
        <v>[36] Carolyn O‘Fallon, and Charles Sullivan. “Research Report 438 Slow Zones: Their Impact on Mode Choices and Travel Behaviour | NZ Transport Agency.” NZ Transport Agency research report 438, March 2011. https://www.nzta.govt.nz/resources/research/reports/438.</v>
      </c>
      <c r="Q21" s="32"/>
      <c r="R21" s="34"/>
      <c r="S21" s="34"/>
      <c r="T21" s="34"/>
      <c r="U21" s="34"/>
      <c r="V21" s="34"/>
      <c r="W21" s="34"/>
      <c r="X21" s="34"/>
      <c r="Y21" s="34"/>
      <c r="Z21" s="34"/>
      <c r="AA21" s="34"/>
      <c r="AB21" s="34"/>
      <c r="AC21" s="34"/>
      <c r="AD21" s="34"/>
      <c r="AE21" s="34"/>
      <c r="AF21" s="34"/>
      <c r="AG21" s="34"/>
      <c r="AH21" s="34"/>
    </row>
    <row r="22" spans="1:34" ht="15.75" customHeight="1" outlineLevel="1">
      <c r="A22" s="43" t="s">
        <v>138</v>
      </c>
      <c r="B22" s="32" t="s">
        <v>139</v>
      </c>
      <c r="C22" s="32" t="s">
        <v>36</v>
      </c>
      <c r="D22" s="34" t="s">
        <v>140</v>
      </c>
      <c r="E22" s="32" t="s">
        <v>25</v>
      </c>
      <c r="F22" s="32" t="s">
        <v>25</v>
      </c>
      <c r="G22" s="32" t="s">
        <v>141</v>
      </c>
      <c r="H22" s="32" t="s">
        <v>142</v>
      </c>
      <c r="I22" s="32" t="s">
        <v>143</v>
      </c>
      <c r="J22" s="32" t="s">
        <v>144</v>
      </c>
      <c r="K22" s="33" t="s">
        <v>145</v>
      </c>
      <c r="L22" s="38" t="str">
        <f>HYPERLINK("https://www.sciencedirect.com/science/article/abs/pii/S0001457506001795","[37] De Brabander, Bram, and Lode Vereeck. “Safety Effects of Roundabouts in Flanders: Signal Type, Speed Limits and Vulnerable Road Users.” Accident Analysis &amp; Prevention 39, no. 3 (2007): 591–99.")</f>
        <v>[37] De Brabander, Bram, and Lode Vereeck. “Safety Effects of Roundabouts in Flanders: Signal Type, Speed Limits and Vulnerable Road Users.” Accident Analysis &amp; Prevention 39, no. 3 (2007): 591–99.</v>
      </c>
      <c r="M22" s="34"/>
      <c r="N22" s="38" t="str">
        <f>HYPERLINK("http://citeseerx.ist.psu.edu/viewdoc/download?doi=10.1.1.585.960&amp;rep=rep1&amp;type=pdf","[38] Hummel, Ton, Archie Mackie, and Pat Wells. “Traffic Calming Measures in Built-up Areas.” Citeseer, 2002.")</f>
        <v>[38] Hummel, Ton, Archie Mackie, and Pat Wells. “Traffic Calming Measures in Built-up Areas.” Citeseer, 2002.</v>
      </c>
      <c r="O22" s="34" t="s">
        <v>146</v>
      </c>
      <c r="P22" s="34"/>
      <c r="Q22" s="34"/>
      <c r="R22" s="32"/>
      <c r="S22" s="32"/>
      <c r="T22" s="32"/>
      <c r="U22" s="32"/>
      <c r="V22" s="32"/>
      <c r="W22" s="32"/>
      <c r="X22" s="32"/>
      <c r="Y22" s="32"/>
      <c r="Z22" s="32"/>
      <c r="AA22" s="32"/>
      <c r="AB22" s="32"/>
      <c r="AC22" s="32"/>
      <c r="AD22" s="32"/>
      <c r="AE22" s="32"/>
      <c r="AF22" s="32"/>
      <c r="AG22" s="32"/>
      <c r="AH22" s="32"/>
    </row>
    <row r="23" spans="1:34" ht="15.75" customHeight="1" outlineLevel="1">
      <c r="A23" s="43" t="s">
        <v>147</v>
      </c>
      <c r="B23" s="32" t="s">
        <v>148</v>
      </c>
      <c r="C23" s="32" t="s">
        <v>36</v>
      </c>
      <c r="D23" s="34" t="s">
        <v>149</v>
      </c>
      <c r="E23" s="32" t="s">
        <v>25</v>
      </c>
      <c r="F23" s="32" t="s">
        <v>25</v>
      </c>
      <c r="G23" s="32" t="s">
        <v>25</v>
      </c>
      <c r="H23" s="32"/>
      <c r="I23" s="32"/>
      <c r="J23" s="32" t="s">
        <v>150</v>
      </c>
      <c r="K23" s="33"/>
      <c r="L23" s="38" t="str">
        <f>HYPERLINK("https://journals.sagepub.com/doi/abs/10.3141/2636-01?casa_token=OL3gdSQi-XwAAAAA:l8Gr0xXAMjYSbIZKjIqLbEToXXWZOkWZRgnNwctQXwI9eysIdNd0vHJk0Z0_Jv-22xnooRk0-ADepSw","[39] Zegeer, Charlie, Craig Lyon, Raghavan Srinivasan, Bhagwant Persaud, Bo Lan, Sarah Smith, Daniel Carter, et al. “Development of Crash Modification Factors for Uncontrolled Pedestrian Crossing Treatments.” Transportation Research Record 2636, no. 1 (Ja"&amp;"nuary 1, 2017): 1–8. https://doi.org/10.3141/2636-01.")</f>
        <v>[39] Zegeer, Charlie, Craig Lyon, Raghavan Srinivasan, Bhagwant Persaud, Bo Lan, Sarah Smith, Daniel Carter, et al. “Development of Crash Modification Factors for Uncontrolled Pedestrian Crossing Treatments.” Transportation Research Record 2636, no. 1 (January 1, 2017): 1–8. https://doi.org/10.3141/2636-01.</v>
      </c>
      <c r="M23" s="34"/>
      <c r="N23" s="34"/>
      <c r="O23" s="34"/>
      <c r="P23" s="34"/>
      <c r="Q23" s="34"/>
      <c r="R23" s="32"/>
      <c r="S23" s="32"/>
      <c r="T23" s="32"/>
      <c r="U23" s="32"/>
      <c r="V23" s="32"/>
      <c r="W23" s="32"/>
      <c r="X23" s="32"/>
      <c r="Y23" s="32"/>
      <c r="Z23" s="32"/>
      <c r="AA23" s="32"/>
      <c r="AB23" s="32"/>
      <c r="AC23" s="32"/>
      <c r="AD23" s="32"/>
      <c r="AE23" s="32"/>
      <c r="AF23" s="32"/>
      <c r="AG23" s="32"/>
      <c r="AH23" s="32"/>
    </row>
    <row r="24" spans="1:34" ht="15.75" customHeight="1" outlineLevel="1">
      <c r="A24" s="37" t="s">
        <v>151</v>
      </c>
      <c r="B24" s="32" t="s">
        <v>152</v>
      </c>
      <c r="C24" s="32" t="s">
        <v>45</v>
      </c>
      <c r="D24" s="34" t="s">
        <v>153</v>
      </c>
      <c r="E24" s="32" t="s">
        <v>154</v>
      </c>
      <c r="F24" s="32" t="s">
        <v>25</v>
      </c>
      <c r="G24" s="32" t="s">
        <v>25</v>
      </c>
      <c r="H24" s="46" t="s">
        <v>155</v>
      </c>
      <c r="I24" s="32" t="s">
        <v>156</v>
      </c>
      <c r="J24" s="32" t="s">
        <v>157</v>
      </c>
      <c r="K24" s="33"/>
      <c r="L24" s="38" t="str">
        <f>HYPERLINK("https://rosap.ntl.bts.gov/view/dot/36546","[40] Hallmark, Shauna, Neal Hawkins, and Omar Smadi. “Evaluation of Dynamic Speed Feedback Signs on Curves: A National Demonstration Project.” United States. Federal Highway Administration, 2015.")</f>
        <v>[40] Hallmark, Shauna, Neal Hawkins, and Omar Smadi. “Evaluation of Dynamic Speed Feedback Signs on Curves: A National Demonstration Project.” United States. Federal Highway Administration, 2015.</v>
      </c>
      <c r="M24" s="34" t="s">
        <v>158</v>
      </c>
      <c r="N24" s="38" t="str">
        <f>HYPERLINK("https://rosap.ntl.bts.gov/view/dot/28363","[41] Boyle, Linda, Gustave Cordahi, Katie Grabenstein, Marwan Madi, Erika Miller, Paul Silberman, and Booz Allen Hamilton. “Effectiveness of Safety and Public Service Announcement Messages on Dynamic Message Signs.” United States. Federal Highway Administ"&amp;"ration, 2014.")</f>
        <v>[41] Boyle, Linda, Gustave Cordahi, Katie Grabenstein, Marwan Madi, Erika Miller, Paul Silberman, and Booz Allen Hamilton. “Effectiveness of Safety and Public Service Announcement Messages on Dynamic Message Signs.” United States. Federal Highway Administration, 2014.</v>
      </c>
      <c r="O24" s="34" t="s">
        <v>159</v>
      </c>
      <c r="P24" s="60" t="str">
        <f>HYPERLINK("https://safety.fhwa.dot.gov/speedmgt/ref_mats/fhwasa1304/Resources3/06%20-%20Spatial%20Effectiveness%20of%20Speed%20Feedback%20Signs.pdf","[42] Kelvin R. Santiago-Chaparro, David A. Noyce, Madhav Chitturi, and Andrea Bill. “Spatial Effectiveness of Speed Feedback Signs.” Transportation Research Record: Journal of the Transportation Research Board, No. 2281, Transportation Research Board of t"&amp;"he National Academies, 2012, 8–15. https://doi.org/10.3141/2281-02.")</f>
        <v>[42] Kelvin R. Santiago-Chaparro, David A. Noyce, Madhav Chitturi, and Andrea Bill. “Spatial Effectiveness of Speed Feedback Signs.” Transportation Research Record: Journal of the Transportation Research Board, No. 2281, Transportation Research Board of the National Academies, 2012, 8–15. https://doi.org/10.3141/2281-02.</v>
      </c>
      <c r="Q24" s="34" t="s">
        <v>160</v>
      </c>
      <c r="R24" s="32"/>
      <c r="S24" s="32"/>
      <c r="T24" s="32"/>
      <c r="U24" s="32"/>
      <c r="V24" s="32"/>
      <c r="W24" s="32"/>
      <c r="X24" s="32"/>
      <c r="Y24" s="32"/>
      <c r="Z24" s="32"/>
      <c r="AA24" s="32"/>
      <c r="AB24" s="32"/>
      <c r="AC24" s="32"/>
      <c r="AD24" s="32"/>
      <c r="AE24" s="32"/>
      <c r="AF24" s="32"/>
      <c r="AG24" s="32"/>
      <c r="AH24" s="32"/>
    </row>
    <row r="25" spans="1:34" ht="24.75" customHeight="1">
      <c r="A25" s="66" t="s">
        <v>161</v>
      </c>
      <c r="B25" s="62"/>
      <c r="C25" s="62"/>
      <c r="D25" s="62"/>
      <c r="E25" s="62"/>
      <c r="F25" s="62"/>
      <c r="G25" s="62"/>
      <c r="H25" s="62"/>
      <c r="I25" s="62"/>
      <c r="J25" s="63"/>
      <c r="K25" s="41"/>
      <c r="L25" s="42"/>
      <c r="M25" s="42"/>
      <c r="N25" s="42"/>
      <c r="O25" s="42"/>
      <c r="P25" s="42"/>
      <c r="Q25" s="42"/>
      <c r="R25" s="42"/>
      <c r="S25" s="42"/>
      <c r="T25" s="42"/>
      <c r="U25" s="42"/>
      <c r="V25" s="42"/>
      <c r="W25" s="42"/>
      <c r="X25" s="42"/>
      <c r="Y25" s="42"/>
      <c r="Z25" s="42"/>
      <c r="AA25" s="42"/>
      <c r="AB25" s="42"/>
      <c r="AC25" s="42"/>
      <c r="AD25" s="42"/>
      <c r="AE25" s="42"/>
      <c r="AF25" s="42"/>
      <c r="AG25" s="42"/>
      <c r="AH25" s="42"/>
    </row>
    <row r="26" spans="1:34" ht="15.75" customHeight="1" outlineLevel="1">
      <c r="A26" s="43" t="s">
        <v>162</v>
      </c>
      <c r="B26" s="34" t="s">
        <v>163</v>
      </c>
      <c r="C26" s="32" t="s">
        <v>24</v>
      </c>
      <c r="D26" s="34" t="s">
        <v>164</v>
      </c>
      <c r="E26" s="32" t="s">
        <v>25</v>
      </c>
      <c r="F26" s="32" t="s">
        <v>25</v>
      </c>
      <c r="G26" s="32" t="s">
        <v>165</v>
      </c>
      <c r="H26" s="32" t="s">
        <v>118</v>
      </c>
      <c r="I26" s="32" t="s">
        <v>119</v>
      </c>
      <c r="J26" s="32" t="s">
        <v>166</v>
      </c>
      <c r="K26" s="33"/>
      <c r="L26" s="32" t="s">
        <v>167</v>
      </c>
      <c r="M26" s="26"/>
      <c r="N26" s="47"/>
      <c r="O26" s="26"/>
      <c r="P26" s="26"/>
      <c r="Q26" s="26"/>
      <c r="R26" s="26"/>
      <c r="S26" s="32"/>
      <c r="T26" s="32"/>
      <c r="U26" s="32"/>
      <c r="V26" s="32"/>
      <c r="W26" s="32"/>
      <c r="X26" s="32"/>
      <c r="Y26" s="32"/>
      <c r="Z26" s="32"/>
      <c r="AA26" s="32"/>
      <c r="AB26" s="32"/>
      <c r="AC26" s="32"/>
      <c r="AD26" s="32"/>
      <c r="AE26" s="32"/>
      <c r="AF26" s="32"/>
      <c r="AG26" s="32"/>
      <c r="AH26" s="32"/>
    </row>
    <row r="27" spans="1:34" ht="15.75" customHeight="1" outlineLevel="1">
      <c r="A27" s="43" t="s">
        <v>168</v>
      </c>
      <c r="B27" s="32" t="s">
        <v>169</v>
      </c>
      <c r="C27" s="32" t="s">
        <v>24</v>
      </c>
      <c r="D27" s="34" t="s">
        <v>170</v>
      </c>
      <c r="E27" s="32" t="s">
        <v>25</v>
      </c>
      <c r="F27" s="32" t="s">
        <v>25</v>
      </c>
      <c r="G27" s="32" t="s">
        <v>88</v>
      </c>
      <c r="H27" s="32"/>
      <c r="I27" s="32"/>
      <c r="J27" s="32" t="s">
        <v>171</v>
      </c>
      <c r="K27" s="33" t="s">
        <v>95</v>
      </c>
      <c r="L27" s="38" t="str">
        <f>HYPERLINK("http://walkfriendly.org/2018/09/11/left-turn-traffic-calming-nyc/","[44] Walk Friendly Communities. “Left Turn Traffic Calming Enhancing Pedestrian Safety in New York City,” September 11, 2018. http://walkfriendly.org/2018/09/11/left-turn-traffic-calming-nyc/.")</f>
        <v>[44] Walk Friendly Communities. “Left Turn Traffic Calming Enhancing Pedestrian Safety in New York City,” September 11, 2018. http://walkfriendly.org/2018/09/11/left-turn-traffic-calming-nyc/.</v>
      </c>
      <c r="M27" s="26" t="s">
        <v>172</v>
      </c>
      <c r="N27" s="48" t="str">
        <f>HYPERLINK("https://www.iihs.org/topics/bibliography/ref/2202","[45] Hu, Wen, and Jessica B. Cicchino. “The Effects of Left-Turn Traffic-Calming Treatments on Conflicts and Speeds in Washington, DC.” Insurance Institute for Highway Safety, April 2020. https://www.iihs.org/topics/bibliography/ref/2202.")</f>
        <v>[45] Hu, Wen, and Jessica B. Cicchino. “The Effects of Left-Turn Traffic-Calming Treatments on Conflicts and Speeds in Washington, DC.” Insurance Institute for Highway Safety, April 2020. https://www.iihs.org/topics/bibliography/ref/2202.</v>
      </c>
      <c r="O27" s="26" t="s">
        <v>173</v>
      </c>
      <c r="P27" s="26"/>
      <c r="Q27" s="26"/>
      <c r="R27" s="26"/>
      <c r="S27" s="32"/>
      <c r="T27" s="32"/>
      <c r="U27" s="32"/>
      <c r="V27" s="32"/>
      <c r="W27" s="32"/>
      <c r="X27" s="32"/>
      <c r="Y27" s="32"/>
      <c r="Z27" s="32"/>
      <c r="AA27" s="32"/>
      <c r="AB27" s="32"/>
      <c r="AC27" s="32"/>
      <c r="AD27" s="32"/>
      <c r="AE27" s="32"/>
      <c r="AF27" s="32"/>
      <c r="AG27" s="32"/>
      <c r="AH27" s="32"/>
    </row>
    <row r="28" spans="1:34" ht="15.75" customHeight="1" outlineLevel="1">
      <c r="A28" s="43" t="s">
        <v>174</v>
      </c>
      <c r="B28" s="32" t="s">
        <v>175</v>
      </c>
      <c r="C28" s="32" t="s">
        <v>24</v>
      </c>
      <c r="D28" s="34" t="s">
        <v>176</v>
      </c>
      <c r="E28" s="32" t="s">
        <v>25</v>
      </c>
      <c r="F28" s="32" t="s">
        <v>25</v>
      </c>
      <c r="G28" s="32" t="s">
        <v>25</v>
      </c>
      <c r="H28" s="32" t="s">
        <v>177</v>
      </c>
      <c r="I28" s="32" t="s">
        <v>178</v>
      </c>
      <c r="J28" s="32"/>
      <c r="K28" s="33"/>
      <c r="L28" s="38" t="str">
        <f>HYPERLINK("https://rosap.ntl.bts.gov/view/dot/43672","[46] “Literature Review: Resource Guide for Separating Bicyclists from Traffic.” United States. Federal Highway Administration. Office of Safety, July 1, 2018. https://rosap.ntl.bts.gov/view/dot/43672.")</f>
        <v>[46] “Literature Review: Resource Guide for Separating Bicyclists from Traffic.” United States. Federal Highway Administration. Office of Safety, July 1, 2018. https://rosap.ntl.bts.gov/view/dot/43672.</v>
      </c>
      <c r="M28" s="26" t="s">
        <v>179</v>
      </c>
      <c r="N28" s="38" t="str">
        <f>HYPERLINK("https://www.ncbi.nlm.nih.gov/pubmed/23078480","[47] Teschke, Kay, M. Anne Harris, Conor C. O. Reynolds, Meghan Winters, Shelina Babul, Mary Chipman, Michael D. Cusimano, et al. “Route Infrastructure and the Risk of Injuries to Bicyclists: A Case-Crossover Study.” American Journal of Public Health 102,"&amp;" no. 12 (December 2012): 2336–43. https://doi.org/10.2105/AJPH.2012.300762.")</f>
        <v>[47] Teschke, Kay, M. Anne Harris, Conor C. O. Reynolds, Meghan Winters, Shelina Babul, Mary Chipman, Michael D. Cusimano, et al. “Route Infrastructure and the Risk of Injuries to Bicyclists: A Case-Crossover Study.” American Journal of Public Health 102, no. 12 (December 2012): 2336–43. https://doi.org/10.2105/AJPH.2012.300762.</v>
      </c>
      <c r="O28" s="26" t="s">
        <v>180</v>
      </c>
      <c r="P28" s="38" t="str">
        <f>HYPERLINK("https://coloradosprings.gov/sites/default/files/fhwa-separatedbikelane_design-guide-small_0.pdf","[48] “SEPARATED BIKE LANE PLANNING AND DESIGN GUIDE.” US Department of Transportation, Federal Highway Administration, May 2015. https://coloradosprings.gov/sites/default/files/fhwa-separatedbikelane_design-guide-small_0.pdf.")</f>
        <v>[48] “SEPARATED BIKE LANE PLANNING AND DESIGN GUIDE.” US Department of Transportation, Federal Highway Administration, May 2015. https://coloradosprings.gov/sites/default/files/fhwa-separatedbikelane_design-guide-small_0.pdf.</v>
      </c>
      <c r="Q28" s="26" t="s">
        <v>181</v>
      </c>
      <c r="R28" s="48" t="str">
        <f>HYPERLINK("https://journals.sagepub.com/doi/full/10.1177/0361198119859301?casa_token=jVygLtjffuAAAAAA%3AFY1UcpHfzABqpo3BckT3MTenLwJexFNDmWXpSqb7PnbIqszRkiLNbWKrzRJGf-FQps5Pl3p642B3ASk","[49] Sundstrom, Carl A., Sean M. Quinn, and Roger Weld. “Bicyclist Crash Comparison of Mixing Zone and Fully Split Phase Signal Treatments at Intersections with Protected Bicycle Lanes in New York City.” Transportation Research Record 2673, no. 12 (Decemb"&amp;"er 1, 2019): 115–24. https://doi.org/10.1177/0361198119859301.")</f>
        <v>[49] Sundstrom, Carl A., Sean M. Quinn, and Roger Weld. “Bicyclist Crash Comparison of Mixing Zone and Fully Split Phase Signal Treatments at Intersections with Protected Bicycle Lanes in New York City.” Transportation Research Record 2673, no. 12 (December 1, 2019): 115–24. https://doi.org/10.1177/0361198119859301.</v>
      </c>
      <c r="S28" s="32"/>
      <c r="T28" s="32"/>
      <c r="U28" s="32"/>
      <c r="V28" s="32"/>
      <c r="W28" s="32"/>
      <c r="X28" s="32"/>
      <c r="Y28" s="32"/>
      <c r="Z28" s="32"/>
      <c r="AA28" s="32"/>
      <c r="AB28" s="32"/>
      <c r="AC28" s="32"/>
      <c r="AD28" s="32"/>
      <c r="AE28" s="32"/>
      <c r="AF28" s="32"/>
      <c r="AG28" s="32"/>
      <c r="AH28" s="32"/>
    </row>
    <row r="29" spans="1:34" ht="15.75" customHeight="1" outlineLevel="1">
      <c r="A29" s="43" t="s">
        <v>182</v>
      </c>
      <c r="B29" s="32" t="s">
        <v>183</v>
      </c>
      <c r="C29" s="32" t="s">
        <v>36</v>
      </c>
      <c r="D29" s="34" t="s">
        <v>184</v>
      </c>
      <c r="E29" s="32" t="s">
        <v>25</v>
      </c>
      <c r="F29" s="32" t="s">
        <v>25</v>
      </c>
      <c r="G29" s="32" t="s">
        <v>25</v>
      </c>
      <c r="H29" s="32" t="s">
        <v>185</v>
      </c>
      <c r="I29" s="32"/>
      <c r="J29" s="32"/>
      <c r="K29" s="33"/>
      <c r="L29" s="38" t="str">
        <f>HYPERLINK("https://journals.sagepub.com/doi/abs/10.3141/2636-01?casa_token=x5PEwlUAAO0AAAAA:vYMvuGn1-fekQ5glyfUHcODLX8ftnLtuf_VOVI0D0qMWgQfaRv1Z9K1fEaierKvxqFbApxbZVQO2bDg","[50] Zegeer, Charlie, Craig Lyon, Raghavan Srinivasan, Bhagwant Persaud, Bo Lan, Sarah Smith, Daniel Carter, et al. “Development of Crash Modification Factors for Uncontrolled Pedestrian Crossing Treatments.” Transportation Research Record 2636, no. 1 (Ja"&amp;"nuary 1, 2017): 1–8. https://doi.org/10.3141/2636-01.")</f>
        <v>[50] Zegeer, Charlie, Craig Lyon, Raghavan Srinivasan, Bhagwant Persaud, Bo Lan, Sarah Smith, Daniel Carter, et al. “Development of Crash Modification Factors for Uncontrolled Pedestrian Crossing Treatments.” Transportation Research Record 2636, no. 1 (January 1, 2017): 1–8. https://doi.org/10.3141/2636-01.</v>
      </c>
      <c r="M29" s="26"/>
      <c r="N29" s="26" t="s">
        <v>186</v>
      </c>
      <c r="O29" s="26"/>
      <c r="P29" s="26"/>
      <c r="Q29" s="26"/>
      <c r="R29" s="26"/>
      <c r="S29" s="32"/>
      <c r="T29" s="32"/>
      <c r="U29" s="32"/>
      <c r="V29" s="32"/>
      <c r="W29" s="32"/>
      <c r="X29" s="32"/>
      <c r="Y29" s="32"/>
      <c r="Z29" s="32"/>
      <c r="AA29" s="32"/>
      <c r="AB29" s="32"/>
      <c r="AC29" s="32"/>
      <c r="AD29" s="32"/>
      <c r="AE29" s="32"/>
      <c r="AF29" s="32"/>
      <c r="AG29" s="32"/>
      <c r="AH29" s="32"/>
    </row>
    <row r="30" spans="1:34" ht="15.75" customHeight="1" outlineLevel="1">
      <c r="A30" s="37" t="s">
        <v>187</v>
      </c>
      <c r="B30" s="32" t="s">
        <v>188</v>
      </c>
      <c r="C30" s="32" t="s">
        <v>24</v>
      </c>
      <c r="D30" s="34" t="s">
        <v>189</v>
      </c>
      <c r="E30" s="32" t="s">
        <v>25</v>
      </c>
      <c r="F30" s="32" t="s">
        <v>25</v>
      </c>
      <c r="G30" s="32" t="s">
        <v>27</v>
      </c>
      <c r="H30" s="32" t="s">
        <v>190</v>
      </c>
      <c r="I30" s="32"/>
      <c r="J30" s="32" t="s">
        <v>191</v>
      </c>
      <c r="K30" s="33" t="s">
        <v>192</v>
      </c>
      <c r="L30" s="47" t="s">
        <v>193</v>
      </c>
      <c r="M30" s="26" t="s">
        <v>131</v>
      </c>
      <c r="N30" s="26" t="s">
        <v>194</v>
      </c>
      <c r="O30" s="26"/>
      <c r="P30" s="26"/>
      <c r="Q30" s="26"/>
      <c r="R30" s="26"/>
      <c r="S30" s="32"/>
      <c r="T30" s="32"/>
      <c r="U30" s="32"/>
      <c r="V30" s="32"/>
      <c r="W30" s="32"/>
      <c r="X30" s="32"/>
      <c r="Y30" s="32"/>
      <c r="Z30" s="32"/>
      <c r="AA30" s="32"/>
      <c r="AB30" s="32"/>
      <c r="AC30" s="32"/>
      <c r="AD30" s="32"/>
      <c r="AE30" s="32"/>
      <c r="AF30" s="32"/>
      <c r="AG30" s="32"/>
      <c r="AH30" s="32"/>
    </row>
    <row r="31" spans="1:34" ht="15.75" customHeight="1" outlineLevel="1">
      <c r="A31" s="43" t="s">
        <v>195</v>
      </c>
      <c r="B31" s="32" t="s">
        <v>196</v>
      </c>
      <c r="C31" s="32" t="s">
        <v>24</v>
      </c>
      <c r="D31" s="32" t="s">
        <v>197</v>
      </c>
      <c r="E31" s="32" t="s">
        <v>25</v>
      </c>
      <c r="F31" s="32" t="s">
        <v>25</v>
      </c>
      <c r="G31" s="32" t="s">
        <v>25</v>
      </c>
      <c r="H31" s="32"/>
      <c r="I31" s="32"/>
      <c r="J31" s="32"/>
      <c r="K31" s="33"/>
      <c r="L31" s="48" t="str">
        <f>HYPERLINK("https://journals.sagepub.com/doi/abs/10.3141/2519-16?casa_token=Y4Yz_sfsUIkAAAAA:N5jrBDd6KNJIeH1S7Te17dXEocoY3lwQ9XBuNUuyGhlRpWY3ycPNPcITLYWCIYs2IJWyFn0_5VFhQzI","[54] Kronenberg, Chava, Lucas Woodward, Brooke DuBose, and Dana Weissman. “Achieving Vision Zero: Data-Driven Investment Strategy to Eliminate Pedestrian Fatalities on a Citywide Level.” Transportation Research Record 2519, no. 1 (2015): 146–56.")</f>
        <v>[54] Kronenberg, Chava, Lucas Woodward, Brooke DuBose, and Dana Weissman. “Achieving Vision Zero: Data-Driven Investment Strategy to Eliminate Pedestrian Fatalities on a Citywide Level.” Transportation Research Record 2519, no. 1 (2015): 146–56.</v>
      </c>
      <c r="M31" s="26"/>
      <c r="N31" s="38" t="str">
        <f>HYPERLINK("https://journals.sagepub.com/doi/abs/10.3141/1878-03?casa_token=MsuzNrCwqYQAAAAA:PR17SA8c_HhBWVV1JGN2xdk0HfIry-GilCnrO7tRITL3Dd1td2yXHxcpWtmnhK3B8dQaM-vljgPqEoI","[55] Bechtel, Allyson K, Kara E Macleod, and David R Ragland. “Pedestrian Scramble Signal in Chinatown Neighborhood of Oakland, California: An Evaluation.” Transportation Research Record 1878, no. 1 (2004): 19–26.")</f>
        <v>[55] Bechtel, Allyson K, Kara E Macleod, and David R Ragland. “Pedestrian Scramble Signal in Chinatown Neighborhood of Oakland, California: An Evaluation.” Transportation Research Record 1878, no. 1 (2004): 19–26.</v>
      </c>
      <c r="O31" s="26" t="s">
        <v>198</v>
      </c>
      <c r="P31" s="38" t="str">
        <f>HYPERLINK("https://www.sciencedirect.com/science/article/abs/pii/S0967070X1400002X","[56] Chen, Li, Cynthia Chen, and Reid Ewing. “The Relative Effectiveness of Signal Related Pedestrian Countermeasures at Urban Intersections—Lessons from a New York City Case Study.” Transport Policy 32 (March 1, 2014): 69–78. https://doi.org/10.1016/j.tr"&amp;"anpol.2013.12.006.")</f>
        <v>[56] Chen, Li, Cynthia Chen, and Reid Ewing. “The Relative Effectiveness of Signal Related Pedestrian Countermeasures at Urban Intersections—Lessons from a New York City Case Study.” Transport Policy 32 (March 1, 2014): 69–78. https://doi.org/10.1016/j.tranpol.2013.12.006.</v>
      </c>
      <c r="Q31" s="26" t="s">
        <v>199</v>
      </c>
      <c r="R31" s="48" t="s">
        <v>200</v>
      </c>
      <c r="S31" s="32" t="s">
        <v>201</v>
      </c>
      <c r="T31" s="32"/>
      <c r="U31" s="32"/>
      <c r="V31" s="32"/>
      <c r="W31" s="32"/>
      <c r="X31" s="32"/>
      <c r="Y31" s="32"/>
      <c r="Z31" s="32"/>
      <c r="AA31" s="32"/>
      <c r="AB31" s="32"/>
      <c r="AC31" s="32"/>
      <c r="AD31" s="32"/>
      <c r="AE31" s="32"/>
      <c r="AF31" s="32"/>
      <c r="AG31" s="32"/>
      <c r="AH31" s="32"/>
    </row>
    <row r="32" spans="1:34" ht="15.75" customHeight="1" outlineLevel="1">
      <c r="A32" s="43" t="s">
        <v>202</v>
      </c>
      <c r="B32" s="34" t="s">
        <v>203</v>
      </c>
      <c r="C32" s="32" t="s">
        <v>36</v>
      </c>
      <c r="D32" s="34" t="s">
        <v>204</v>
      </c>
      <c r="E32" s="32" t="s">
        <v>25</v>
      </c>
      <c r="F32" s="32" t="s">
        <v>25</v>
      </c>
      <c r="G32" s="32" t="s">
        <v>165</v>
      </c>
      <c r="H32" s="32"/>
      <c r="I32" s="32"/>
      <c r="J32" s="32"/>
      <c r="K32" s="33"/>
      <c r="L32" s="38" t="str">
        <f>HYPERLINK("https://www.sciencedirect.com/science/article/abs/pii/S0001457518311254","[58] Raihan, Md Asif, Priyanka Alluri, Wensong Wu, and Albert Gan. “Estimation of Bicycle Crash Modification Factors (CMFs) on Urban Facilities Using Zero Inflated Negative Binomial Models.” Accident Analysis &amp; Prevention 123 (February 1, 2019): 303–13. h"&amp;"ttps://doi.org/10.1016/j.aap.2018.12.009.")</f>
        <v>[58] Raihan, Md Asif, Priyanka Alluri, Wensong Wu, and Albert Gan. “Estimation of Bicycle Crash Modification Factors (CMFs) on Urban Facilities Using Zero Inflated Negative Binomial Models.” Accident Analysis &amp; Prevention 123 (February 1, 2019): 303–13. https://doi.org/10.1016/j.aap.2018.12.009.</v>
      </c>
      <c r="M32" s="26"/>
      <c r="N32" s="47"/>
      <c r="O32" s="26"/>
      <c r="P32" s="26"/>
      <c r="Q32" s="26"/>
      <c r="R32" s="26"/>
      <c r="S32" s="32"/>
      <c r="T32" s="32"/>
      <c r="U32" s="32"/>
      <c r="V32" s="32"/>
      <c r="W32" s="32"/>
      <c r="X32" s="32"/>
      <c r="Y32" s="32"/>
      <c r="Z32" s="32"/>
      <c r="AA32" s="32"/>
      <c r="AB32" s="32"/>
      <c r="AC32" s="32"/>
      <c r="AD32" s="32"/>
      <c r="AE32" s="32"/>
      <c r="AF32" s="32"/>
      <c r="AG32" s="32"/>
      <c r="AH32" s="32"/>
    </row>
    <row r="33" spans="1:34" ht="15.75" customHeight="1" outlineLevel="1">
      <c r="A33" s="43" t="s">
        <v>205</v>
      </c>
      <c r="B33" s="34" t="s">
        <v>206</v>
      </c>
      <c r="C33" s="32" t="s">
        <v>36</v>
      </c>
      <c r="D33" s="34" t="s">
        <v>207</v>
      </c>
      <c r="E33" s="32" t="s">
        <v>25</v>
      </c>
      <c r="F33" s="32" t="s">
        <v>25</v>
      </c>
      <c r="G33" s="32" t="s">
        <v>165</v>
      </c>
      <c r="H33" s="32"/>
      <c r="I33" s="32"/>
      <c r="J33" s="32"/>
      <c r="K33" s="33"/>
      <c r="L33" s="48" t="str">
        <f>HYPERLINK("https://journals.sagepub.com/doi/abs/10.3141/2519-16?casa_token=Y4Yz_sfsUIkAAAAA:N5jrBDd6KNJIeH1S7Te17dXEocoY3lwQ9XBuNUuyGhlRpWY3ycPNPcITLYWCIYs2IJWyFn0_5VFhQzI","[59] Kronenberg, Chava, Lucas Woodward, Brooke DuBose, and Dana Weissman. “Achieving Vision Zero: Data-Driven Investment Strategy to Eliminate Pedestrian Fatalities on a Citywide Level.” Transportation Research Record 2519, no. 1 (2015): 146–56.")</f>
        <v>[59] Kronenberg, Chava, Lucas Woodward, Brooke DuBose, and Dana Weissman. “Achieving Vision Zero: Data-Driven Investment Strategy to Eliminate Pedestrian Fatalities on a Citywide Level.” Transportation Research Record 2519, no. 1 (2015): 146–56.</v>
      </c>
      <c r="M33" s="26"/>
      <c r="N33" s="47" t="s">
        <v>208</v>
      </c>
      <c r="O33" s="26"/>
      <c r="P33" s="26" t="s">
        <v>209</v>
      </c>
      <c r="Q33" s="26"/>
      <c r="R33" s="26"/>
      <c r="S33" s="32"/>
      <c r="T33" s="32"/>
      <c r="U33" s="32"/>
      <c r="V33" s="32"/>
      <c r="W33" s="32"/>
      <c r="X33" s="32"/>
      <c r="Y33" s="32"/>
      <c r="Z33" s="32"/>
      <c r="AA33" s="32"/>
      <c r="AB33" s="32"/>
      <c r="AC33" s="32"/>
      <c r="AD33" s="32"/>
      <c r="AE33" s="32"/>
      <c r="AF33" s="32"/>
      <c r="AG33" s="32"/>
      <c r="AH33" s="32"/>
    </row>
    <row r="34" spans="1:34" ht="15.75" customHeight="1" outlineLevel="1">
      <c r="A34" s="43" t="s">
        <v>210</v>
      </c>
      <c r="B34" s="32" t="s">
        <v>211</v>
      </c>
      <c r="C34" s="32" t="s">
        <v>45</v>
      </c>
      <c r="D34" s="34" t="s">
        <v>212</v>
      </c>
      <c r="E34" s="32" t="s">
        <v>25</v>
      </c>
      <c r="F34" s="32" t="s">
        <v>25</v>
      </c>
      <c r="G34" s="32" t="s">
        <v>27</v>
      </c>
      <c r="H34" s="32"/>
      <c r="I34" s="32"/>
      <c r="J34" s="32"/>
      <c r="K34" s="33"/>
      <c r="L34" s="38" t="str">
        <f>HYPERLINK("https://rosap.ntl.bts.gov/view/dot/37580","[62] Goughnour, Elissa, Daniel L Carter, Craig Lyon, Bhagwant Persaud, Bo Lan, Piljin Chun, Ian Hamilton, and Kari Signor. “Safety Evaluation of Protected Left-Turn Phasing and Leading Pedestrian Intervals on Pedestrian Safety.” United States. Federal Hig"&amp;"hway Administration, 2018.")</f>
        <v>[62] Goughnour, Elissa, Daniel L Carter, Craig Lyon, Bhagwant Persaud, Bo Lan, Piljin Chun, Ian Hamilton, and Kari Signor. “Safety Evaluation of Protected Left-Turn Phasing and Leading Pedestrian Intervals on Pedestrian Safety.” United States. Federal Highway Administration, 2018.</v>
      </c>
      <c r="M34" s="47"/>
      <c r="N34" s="26"/>
      <c r="O34" s="26"/>
      <c r="P34" s="26"/>
      <c r="Q34" s="26"/>
      <c r="R34" s="26"/>
      <c r="S34" s="32"/>
      <c r="T34" s="32"/>
      <c r="U34" s="32"/>
      <c r="V34" s="32"/>
      <c r="W34" s="32"/>
      <c r="X34" s="32"/>
      <c r="Y34" s="32"/>
      <c r="Z34" s="32"/>
      <c r="AA34" s="32"/>
      <c r="AB34" s="32"/>
      <c r="AC34" s="32"/>
      <c r="AD34" s="32"/>
      <c r="AE34" s="32"/>
      <c r="AF34" s="32"/>
      <c r="AG34" s="32"/>
      <c r="AH34" s="32"/>
    </row>
    <row r="35" spans="1:34" ht="15.75" customHeight="1" outlineLevel="1">
      <c r="A35" s="43" t="s">
        <v>213</v>
      </c>
      <c r="B35" s="34" t="s">
        <v>214</v>
      </c>
      <c r="C35" s="32" t="s">
        <v>24</v>
      </c>
      <c r="D35" s="34" t="s">
        <v>215</v>
      </c>
      <c r="E35" s="32" t="s">
        <v>25</v>
      </c>
      <c r="F35" s="32" t="s">
        <v>25</v>
      </c>
      <c r="G35" s="32" t="s">
        <v>165</v>
      </c>
      <c r="H35" s="32"/>
      <c r="I35" s="32"/>
      <c r="J35" s="32"/>
      <c r="K35" s="33"/>
      <c r="L35" s="48" t="str">
        <f>HYPERLINK("https://rosap.ntl.bts.gov/view/dot/39968","[63] Rodegerdts, Lee A, Brandon L Nevers, Bruce Robinson, John Ringert, Peter Koonce, Justin Bansen, Tina Nguyen, John McGill, Del Stewart, and Jeff Suggett. “Signalized Intersections: Informational Guide.” United States. Federal Highway Administration, 2"&amp;"004.")</f>
        <v>[63] Rodegerdts, Lee A, Brandon L Nevers, Bruce Robinson, John Ringert, Peter Koonce, Justin Bansen, Tina Nguyen, John McGill, Del Stewart, and Jeff Suggett. “Signalized Intersections: Informational Guide.” United States. Federal Highway Administration, 2004.</v>
      </c>
      <c r="M35" s="26" t="s">
        <v>216</v>
      </c>
      <c r="N35" s="26"/>
      <c r="O35" s="26"/>
      <c r="P35" s="26"/>
      <c r="Q35" s="26"/>
      <c r="R35" s="26"/>
      <c r="S35" s="32"/>
      <c r="T35" s="32"/>
      <c r="U35" s="32"/>
      <c r="V35" s="32"/>
      <c r="W35" s="32"/>
      <c r="X35" s="32"/>
      <c r="Y35" s="32"/>
      <c r="Z35" s="32"/>
      <c r="AA35" s="32"/>
      <c r="AB35" s="32"/>
      <c r="AC35" s="32"/>
      <c r="AD35" s="32"/>
      <c r="AE35" s="32"/>
      <c r="AF35" s="32"/>
      <c r="AG35" s="32"/>
      <c r="AH35" s="32"/>
    </row>
    <row r="36" spans="1:34" ht="15.75" customHeight="1" outlineLevel="1">
      <c r="A36" s="43" t="s">
        <v>217</v>
      </c>
      <c r="B36" s="32" t="s">
        <v>218</v>
      </c>
      <c r="C36" s="32" t="s">
        <v>45</v>
      </c>
      <c r="D36" s="32" t="s">
        <v>219</v>
      </c>
      <c r="E36" s="32" t="s">
        <v>25</v>
      </c>
      <c r="F36" s="32" t="s">
        <v>25</v>
      </c>
      <c r="G36" s="32" t="s">
        <v>27</v>
      </c>
      <c r="H36" s="32"/>
      <c r="I36" s="32"/>
      <c r="J36" s="32"/>
      <c r="K36" s="33"/>
      <c r="L36" s="48" t="str">
        <f>HYPERLINK("https://www.sciencedirect.com/science/article/abs/pii/S0001457501000161","[64] Retting, Richard A, Janella F Chapline, and Allan F Williams. “Changes in Crash Risk Following Re-Timing of Traffic Signal Change Intervals.” Accident Analysis &amp; Prevention 34, no. 2 (March 1, 2002): 215–20. https://doi.org/10.1016/S0001-4575(01)0001"&amp;"6-1.")</f>
        <v>[64] Retting, Richard A, Janella F Chapline, and Allan F Williams. “Changes in Crash Risk Following Re-Timing of Traffic Signal Change Intervals.” Accident Analysis &amp; Prevention 34, no. 2 (March 1, 2002): 215–20. https://doi.org/10.1016/S0001-4575(01)00016-1.</v>
      </c>
      <c r="M36" s="26" t="s">
        <v>220</v>
      </c>
      <c r="N36" s="48" t="str">
        <f>HYPERLINK("http://onlinepubs.trb.org/onlinepubs/conferences/2011/RSS/2/Stevanovic,Al.pdf","[65] Stevanovic, Aleksandar, Jelka Stevanovic, and Cameron Kergaye. “Stevanovic, Aleksandar, Jelka Stevanovic, and Cameron Kergaye. “Optimization of Traffic Signal Timings Based on Surrogate Measures of Safety.” Transportation Research Part C: Emerging Te"&amp;"chnologies 32 (July 1, 2013): 159–78. https://doi.org/10.1016/j.trc.2013.02.009.
")</f>
        <v xml:space="preserve">[65] Stevanovic, Aleksandar, Jelka Stevanovic, and Cameron Kergaye. “Stevanovic, Aleksandar, Jelka Stevanovic, and Cameron Kergaye. “Optimization of Traffic Signal Timings Based on Surrogate Measures of Safety.” Transportation Research Part C: Emerging Technologies 32 (July 1, 2013): 159–78. https://doi.org/10.1016/j.trc.2013.02.009.
</v>
      </c>
      <c r="O36" s="26" t="s">
        <v>221</v>
      </c>
      <c r="P36" s="47"/>
      <c r="Q36" s="26"/>
      <c r="R36" s="26"/>
      <c r="S36" s="32"/>
      <c r="T36" s="32"/>
      <c r="U36" s="32"/>
      <c r="V36" s="32"/>
      <c r="W36" s="32"/>
      <c r="X36" s="32"/>
      <c r="Y36" s="32"/>
      <c r="Z36" s="32"/>
      <c r="AA36" s="32"/>
      <c r="AB36" s="32"/>
      <c r="AC36" s="32"/>
      <c r="AD36" s="32"/>
      <c r="AE36" s="32"/>
      <c r="AF36" s="32"/>
      <c r="AG36" s="32"/>
      <c r="AH36" s="32"/>
    </row>
    <row r="37" spans="1:34" ht="24.75" customHeight="1">
      <c r="A37" s="66" t="s">
        <v>222</v>
      </c>
      <c r="B37" s="62"/>
      <c r="C37" s="62"/>
      <c r="D37" s="62"/>
      <c r="E37" s="62"/>
      <c r="F37" s="62"/>
      <c r="G37" s="62"/>
      <c r="H37" s="62"/>
      <c r="I37" s="62"/>
      <c r="J37" s="63"/>
      <c r="K37" s="41"/>
      <c r="L37" s="42"/>
      <c r="M37" s="42"/>
      <c r="N37" s="42"/>
      <c r="O37" s="42"/>
      <c r="P37" s="42"/>
      <c r="Q37" s="42"/>
      <c r="R37" s="42"/>
      <c r="S37" s="42"/>
      <c r="T37" s="42"/>
      <c r="U37" s="42"/>
      <c r="V37" s="42"/>
      <c r="W37" s="42"/>
      <c r="X37" s="42"/>
      <c r="Y37" s="42"/>
      <c r="Z37" s="42"/>
      <c r="AA37" s="42"/>
      <c r="AB37" s="42"/>
      <c r="AC37" s="42"/>
      <c r="AD37" s="42"/>
      <c r="AE37" s="42"/>
      <c r="AF37" s="42"/>
      <c r="AG37" s="42"/>
      <c r="AH37" s="42"/>
    </row>
    <row r="38" spans="1:34" ht="15.75" customHeight="1" outlineLevel="1">
      <c r="A38" s="43" t="s">
        <v>223</v>
      </c>
      <c r="B38" s="32" t="s">
        <v>224</v>
      </c>
      <c r="C38" s="32" t="s">
        <v>24</v>
      </c>
      <c r="D38" s="34" t="s">
        <v>225</v>
      </c>
      <c r="E38" s="32" t="s">
        <v>25</v>
      </c>
      <c r="F38" s="32" t="s">
        <v>25</v>
      </c>
      <c r="G38" s="32" t="s">
        <v>27</v>
      </c>
      <c r="H38" s="32"/>
      <c r="I38" s="32"/>
      <c r="J38" s="32"/>
      <c r="K38" s="33"/>
      <c r="L38" s="38" t="str">
        <f>HYPERLINK("https://safety.fhwa.dot.gov/ped_bike/step/docs/TechSheet_RaisedCW_508compliant.pdf","[66] “Raised Crosswalk Safe Transportation for Every Pedestrian Countermeasure Tech Sheet.” US Department of Transportation, Federal Highway Administration, June 2018.")</f>
        <v>[66] “Raised Crosswalk Safe Transportation for Every Pedestrian Countermeasure Tech Sheet.” US Department of Transportation, Federal Highway Administration, June 2018.</v>
      </c>
      <c r="M38" s="34" t="s">
        <v>226</v>
      </c>
      <c r="N38" s="34" t="s">
        <v>227</v>
      </c>
      <c r="O38" s="34"/>
      <c r="P38" s="34"/>
      <c r="Q38" s="34"/>
      <c r="R38" s="32"/>
      <c r="S38" s="32"/>
      <c r="T38" s="32"/>
      <c r="U38" s="32"/>
      <c r="V38" s="32"/>
      <c r="W38" s="32"/>
      <c r="X38" s="32"/>
      <c r="Y38" s="32"/>
      <c r="Z38" s="32"/>
      <c r="AA38" s="32"/>
      <c r="AB38" s="32"/>
      <c r="AC38" s="32"/>
      <c r="AD38" s="32"/>
      <c r="AE38" s="32"/>
      <c r="AF38" s="32"/>
      <c r="AG38" s="32"/>
      <c r="AH38" s="32"/>
    </row>
    <row r="39" spans="1:34" ht="15.75" customHeight="1" outlineLevel="1">
      <c r="A39" s="43" t="s">
        <v>228</v>
      </c>
      <c r="B39" s="32" t="s">
        <v>229</v>
      </c>
      <c r="C39" s="32" t="s">
        <v>24</v>
      </c>
      <c r="D39" s="34" t="s">
        <v>230</v>
      </c>
      <c r="E39" s="32" t="s">
        <v>25</v>
      </c>
      <c r="F39" s="32" t="s">
        <v>25</v>
      </c>
      <c r="G39" s="32" t="s">
        <v>231</v>
      </c>
      <c r="H39" s="32"/>
      <c r="I39" s="32"/>
      <c r="J39" s="32" t="s">
        <v>232</v>
      </c>
      <c r="K39" s="33"/>
      <c r="L39" s="32" t="s">
        <v>233</v>
      </c>
      <c r="M39" s="34"/>
      <c r="N39" s="34"/>
      <c r="O39" s="34"/>
      <c r="P39" s="34"/>
      <c r="Q39" s="34"/>
      <c r="R39" s="32"/>
      <c r="S39" s="32"/>
      <c r="T39" s="32"/>
      <c r="U39" s="32"/>
      <c r="V39" s="32"/>
      <c r="W39" s="32"/>
      <c r="X39" s="32"/>
      <c r="Y39" s="32"/>
      <c r="Z39" s="32"/>
      <c r="AA39" s="32"/>
      <c r="AB39" s="32"/>
      <c r="AC39" s="32"/>
      <c r="AD39" s="32"/>
      <c r="AE39" s="32"/>
      <c r="AF39" s="32"/>
      <c r="AG39" s="32"/>
      <c r="AH39" s="32"/>
    </row>
    <row r="40" spans="1:34" ht="15.75" customHeight="1" outlineLevel="1">
      <c r="A40" s="43" t="s">
        <v>234</v>
      </c>
      <c r="B40" s="32" t="s">
        <v>235</v>
      </c>
      <c r="C40" s="32" t="s">
        <v>24</v>
      </c>
      <c r="D40" s="38" t="s">
        <v>236</v>
      </c>
      <c r="E40" s="32"/>
      <c r="F40" s="32"/>
      <c r="G40" s="32"/>
      <c r="H40" s="32"/>
      <c r="I40" s="32"/>
      <c r="J40" s="32"/>
      <c r="K40" s="33"/>
      <c r="L40" s="38" t="s">
        <v>237</v>
      </c>
      <c r="M40" s="34" t="s">
        <v>238</v>
      </c>
      <c r="N40" s="34"/>
      <c r="O40" s="38"/>
      <c r="P40" s="34"/>
      <c r="Q40" s="34"/>
      <c r="R40" s="32"/>
      <c r="S40" s="32"/>
      <c r="T40" s="32"/>
      <c r="U40" s="32"/>
      <c r="V40" s="32"/>
      <c r="W40" s="32"/>
      <c r="X40" s="32"/>
      <c r="Y40" s="32"/>
      <c r="Z40" s="32"/>
      <c r="AA40" s="32"/>
      <c r="AB40" s="32"/>
      <c r="AC40" s="32"/>
      <c r="AD40" s="32"/>
      <c r="AE40" s="32"/>
      <c r="AF40" s="32"/>
      <c r="AG40" s="32"/>
      <c r="AH40" s="32"/>
    </row>
    <row r="41" spans="1:34" ht="15.75" customHeight="1" outlineLevel="1">
      <c r="A41" s="43" t="s">
        <v>239</v>
      </c>
      <c r="B41" s="32" t="s">
        <v>240</v>
      </c>
      <c r="C41" s="32" t="s">
        <v>38</v>
      </c>
      <c r="D41" s="38" t="str">
        <f>HYPERLINK("http://www.cmfclearinghouse.org/compare.cfm","CMF N/A - studies indicate that sharrows increase driver awareness of bicylists")</f>
        <v>CMF N/A - studies indicate that sharrows increase driver awareness of bicylists</v>
      </c>
      <c r="E41" s="32" t="s">
        <v>25</v>
      </c>
      <c r="F41" s="32" t="s">
        <v>25</v>
      </c>
      <c r="G41" s="32"/>
      <c r="H41" s="32"/>
      <c r="I41" s="32"/>
      <c r="J41" s="32"/>
      <c r="K41" s="33"/>
      <c r="L41" s="38" t="str">
        <f>HYPERLINK("http://www.pedbikeinfo.org/cms/downloads/06%2013%202014%20BIKESAFE%20Lit%20Review_FINAL.pdf","[70] Jill Mead, Ann McGrane, Charlie Zegeer, and Libby Thomas. “Evaluation of Bicycle-Related Roadway Measures: A Summary of Available Research.” US Department of Transportation, Federal Highway Administration, February 2014. http://www.pedbikeinfo.org/cm"&amp;"s/downloads/06%2013%202014%20BIKESAFE%20Lit%20Review_FINAL.pdf.")</f>
        <v>[70] Jill Mead, Ann McGrane, Charlie Zegeer, and Libby Thomas. “Evaluation of Bicycle-Related Roadway Measures: A Summary of Available Research.” US Department of Transportation, Federal Highway Administration, February 2014. http://www.pedbikeinfo.org/cms/downloads/06%2013%202014%20BIKESAFE%20Lit%20Review_FINAL.pdf.</v>
      </c>
      <c r="M41" s="34" t="s">
        <v>241</v>
      </c>
      <c r="N41" s="34" t="s">
        <v>242</v>
      </c>
      <c r="O41" s="45"/>
      <c r="P41" s="38" t="str">
        <f>HYPERLINK("https://www.fhwa.dot.gov/publications/research/safety/pedbike/10044/index.cfm","[72] Do, Ann. “Evaluation of Shared Lane Markings.” US Department of Transportation, Federal Highway Administration, 2010. https://www.fhwa.dot.gov/publications/research/safety/pedbike/10044/index.cfm.")</f>
        <v>[72] Do, Ann. “Evaluation of Shared Lane Markings.” US Department of Transportation, Federal Highway Administration, 2010. https://www.fhwa.dot.gov/publications/research/safety/pedbike/10044/index.cfm.</v>
      </c>
      <c r="Q41" s="34" t="s">
        <v>243</v>
      </c>
      <c r="R41" s="32"/>
      <c r="S41" s="32"/>
      <c r="T41" s="32"/>
      <c r="U41" s="32"/>
      <c r="V41" s="32"/>
      <c r="W41" s="32"/>
      <c r="X41" s="32"/>
      <c r="Y41" s="32"/>
      <c r="Z41" s="32"/>
      <c r="AA41" s="32"/>
      <c r="AB41" s="32"/>
      <c r="AC41" s="32"/>
      <c r="AD41" s="32"/>
      <c r="AE41" s="32"/>
      <c r="AF41" s="32"/>
      <c r="AG41" s="32"/>
      <c r="AH41" s="32"/>
    </row>
    <row r="42" spans="1:34" ht="32.25" customHeight="1">
      <c r="A42" s="61" t="s">
        <v>244</v>
      </c>
      <c r="B42" s="62"/>
      <c r="C42" s="62"/>
      <c r="D42" s="62"/>
      <c r="E42" s="62"/>
      <c r="F42" s="62"/>
      <c r="G42" s="62"/>
      <c r="H42" s="62"/>
      <c r="I42" s="62"/>
      <c r="J42" s="63"/>
      <c r="K42" s="35"/>
      <c r="L42" s="49"/>
      <c r="M42" s="49"/>
      <c r="N42" s="49"/>
      <c r="O42" s="49"/>
      <c r="P42" s="49"/>
      <c r="Q42" s="49"/>
      <c r="R42" s="49"/>
      <c r="S42" s="49"/>
      <c r="T42" s="49"/>
      <c r="U42" s="49"/>
      <c r="V42" s="49"/>
      <c r="W42" s="49"/>
      <c r="X42" s="49"/>
      <c r="Y42" s="49"/>
      <c r="Z42" s="49"/>
      <c r="AA42" s="49"/>
      <c r="AB42" s="49"/>
      <c r="AC42" s="49"/>
      <c r="AD42" s="49"/>
      <c r="AE42" s="49"/>
      <c r="AF42" s="49"/>
      <c r="AG42" s="49"/>
      <c r="AH42" s="49"/>
    </row>
    <row r="43" spans="1:34" ht="15.75" customHeight="1">
      <c r="A43" s="37" t="s">
        <v>245</v>
      </c>
      <c r="B43" s="32" t="s">
        <v>246</v>
      </c>
      <c r="C43" s="32" t="s">
        <v>24</v>
      </c>
      <c r="D43" s="38" t="s">
        <v>247</v>
      </c>
      <c r="E43" s="32" t="s">
        <v>25</v>
      </c>
      <c r="F43" s="32" t="s">
        <v>27</v>
      </c>
      <c r="G43" s="32" t="s">
        <v>27</v>
      </c>
      <c r="H43" s="39" t="s">
        <v>248</v>
      </c>
      <c r="I43" s="32" t="s">
        <v>249</v>
      </c>
      <c r="J43" s="32" t="s">
        <v>250</v>
      </c>
      <c r="K43" s="33" t="s">
        <v>251</v>
      </c>
      <c r="L43" s="38" t="s">
        <v>252</v>
      </c>
      <c r="M43" s="32" t="s">
        <v>253</v>
      </c>
      <c r="N43" s="38" t="s">
        <v>254</v>
      </c>
      <c r="O43" s="38" t="str">
        <f>HYPERLINK("https://www.iihs.org/topics/red-light-running/automated-enforcement-laws?topicName=speed"",""https://www.iihs.org/topics/red-light-running/automated-enforcement-laws?topicName=speed","Not currently authorized in Califonia ")</f>
        <v xml:space="preserve">Not currently authorized in Califonia </v>
      </c>
      <c r="P43" s="38" t="str">
        <f>HYPERLINK("http://visionzeronetwork.org/wp-content/uploads/2017/05/VisionZero_Equity.pdf","[75] Jenn Fox, and Leah Shahum. “Vision Zero Equity Strategies for Practitioners.” VISIONZERONETWORK.ORG. Accessed March 19, 2020. http://visionzeronetwork.org/wp-content/uploads/2017/05/VisionZero_Equity.pdf.")</f>
        <v>[75] Jenn Fox, and Leah Shahum. “Vision Zero Equity Strategies for Practitioners.” VISIONZERONETWORK.ORG. Accessed March 19, 2020. http://visionzeronetwork.org/wp-content/uploads/2017/05/VisionZero_Equity.pdf.</v>
      </c>
      <c r="Q43" s="32" t="s">
        <v>255</v>
      </c>
      <c r="R43" s="38" t="str">
        <f>HYPERLINK("https://www.sciencedirect.com/science/article/abs/pii/S0001457513000432","[76] Soole, David W., Barry C. Watson, and Judy J. Fleiter. “Effects of Average Speed Enforcement on Speed Compliance and Crashes: A Review of the Literature.” Accident Analysis &amp; Prevention 54 (May 1, 2013): 46–56. https://doi.org/10.1016/j.aap.2013.01.0"&amp;"18.")</f>
        <v>[76] Soole, David W., Barry C. Watson, and Judy J. Fleiter. “Effects of Average Speed Enforcement on Speed Compliance and Crashes: A Review of the Literature.” Accident Analysis &amp; Prevention 54 (May 1, 2013): 46–56. https://doi.org/10.1016/j.aap.2013.01.018.</v>
      </c>
      <c r="S43" s="34" t="s">
        <v>256</v>
      </c>
      <c r="T43" s="34"/>
      <c r="U43" s="34"/>
      <c r="V43" s="34"/>
      <c r="W43" s="34"/>
      <c r="X43" s="34"/>
      <c r="Y43" s="34"/>
      <c r="Z43" s="34"/>
      <c r="AA43" s="34"/>
      <c r="AB43" s="34"/>
      <c r="AC43" s="34"/>
      <c r="AD43" s="34"/>
      <c r="AE43" s="34"/>
      <c r="AF43" s="34"/>
      <c r="AG43" s="34"/>
      <c r="AH43" s="34"/>
    </row>
    <row r="44" spans="1:34" ht="15.75" customHeight="1">
      <c r="A44" s="37" t="s">
        <v>257</v>
      </c>
      <c r="B44" s="32" t="s">
        <v>258</v>
      </c>
      <c r="C44" s="32" t="s">
        <v>24</v>
      </c>
      <c r="D44" s="38" t="s">
        <v>259</v>
      </c>
      <c r="E44" s="32" t="s">
        <v>25</v>
      </c>
      <c r="F44" s="32" t="s">
        <v>25</v>
      </c>
      <c r="G44" s="32" t="s">
        <v>27</v>
      </c>
      <c r="H44" s="32" t="s">
        <v>260</v>
      </c>
      <c r="I44" s="32" t="s">
        <v>261</v>
      </c>
      <c r="J44" s="32" t="s">
        <v>262</v>
      </c>
      <c r="K44" s="33" t="s">
        <v>263</v>
      </c>
      <c r="L44" s="38" t="s">
        <v>264</v>
      </c>
      <c r="M44" s="32"/>
      <c r="N44" s="38" t="str">
        <f>HYPERLINK("https://calsta.ca.gov/-/media/calsta-media/documents/calsta-report-of-findings-ab-2363-zero-traffic-fatalities-task-force-a11y.pdf","[78] “CalSTA Report of Findings AB 2363 Zero Traffic Fatalities Task Force.” CalSTA, January 2020.
")</f>
        <v xml:space="preserve">[78] “CalSTA Report of Findings AB 2363 Zero Traffic Fatalities Task Force.” CalSTA, January 2020.
</v>
      </c>
      <c r="O44" s="32" t="s">
        <v>265</v>
      </c>
      <c r="P44" s="38" t="str">
        <f>HYPERLINK("https://sfcontroller.org/sites/default/files/FileCenter/Documents/6928-Automated%20Speed%20Enforcement%20Implementation%20-%20Survey%20Findings%20and%20Lessons%20Learned%20From%20Around%20the%20Country.pdf","[79] Automated Speed Enforcement
Implementation:
Survey Findings and Lessons
Learned From Around the Country (11/12/2012)")</f>
        <v>[79] Automated Speed Enforcement
Implementation:
Survey Findings and Lessons
Learned From Around the Country (11/12/2012)</v>
      </c>
      <c r="Q44" s="32" t="s">
        <v>266</v>
      </c>
      <c r="R44" s="32" t="s">
        <v>131</v>
      </c>
      <c r="S44" s="34"/>
      <c r="T44" s="34"/>
      <c r="U44" s="34"/>
      <c r="V44" s="34"/>
      <c r="W44" s="34"/>
      <c r="X44" s="34"/>
      <c r="Y44" s="34"/>
      <c r="Z44" s="34"/>
      <c r="AA44" s="34"/>
      <c r="AB44" s="34"/>
      <c r="AC44" s="34"/>
      <c r="AD44" s="34"/>
      <c r="AE44" s="34"/>
      <c r="AF44" s="34"/>
      <c r="AG44" s="34"/>
      <c r="AH44" s="34"/>
    </row>
    <row r="45" spans="1:34" ht="15.75" customHeight="1">
      <c r="A45" s="37" t="s">
        <v>267</v>
      </c>
      <c r="B45" s="32" t="s">
        <v>268</v>
      </c>
      <c r="C45" s="32" t="s">
        <v>45</v>
      </c>
      <c r="D45" s="32" t="s">
        <v>269</v>
      </c>
      <c r="E45" s="32" t="s">
        <v>27</v>
      </c>
      <c r="F45" s="32" t="s">
        <v>25</v>
      </c>
      <c r="G45" s="32" t="s">
        <v>27</v>
      </c>
      <c r="H45" s="32" t="s">
        <v>270</v>
      </c>
      <c r="I45" s="32" t="s">
        <v>271</v>
      </c>
      <c r="J45" s="34"/>
      <c r="K45" s="33"/>
      <c r="L45" s="38" t="str">
        <f>HYPERLINK("http://www.pedbikeinfo.org/cms/downloads/PedestrianLitReview_April2014.pdf#page=27&amp;zoom=100,69,330","[80] Jill Mead, Charlie Zegeer, and Max Bushell. “Evalation of Pedestrian-Related Roadway Measures: A Summary of Available Research.” US Department of Transportation, Federal Highway Administration, April 2014. http://www.pedbikeinfo.org/cms/downloads/Ped"&amp;"estrianLitReview_April2014.pdf#page=27&amp;zoom=100,69,330.")</f>
        <v>[80] Jill Mead, Charlie Zegeer, and Max Bushell. “Evalation of Pedestrian-Related Roadway Measures: A Summary of Available Research.” US Department of Transportation, Federal Highway Administration, April 2014. http://www.pedbikeinfo.org/cms/downloads/PedestrianLitReview_April2014.pdf#page=27&amp;zoom=100,69,330.</v>
      </c>
      <c r="M45" s="34" t="s">
        <v>272</v>
      </c>
      <c r="N45" s="38" t="str">
        <f>HYPERLINK("https://www.sfmta.com/sites/default/files/reports-and-documents/2020/02/safespeedssfhvecampaignfindingswithappendices_2020.01.pdf","[81] “EXECUTIVE SUMMARY: SAFE SPEEDS SF HIGH VISIBILITY ENFORCEMENT CAMPAIGN FINDINGS.” Vision Zero San Francisco, November 2019. https://www.sfmta.com/sites/default/files/reports-and-documents/2020/02/safespeedssfhvecampaignfindingswithappendices_2020.01"&amp;".pdf.")</f>
        <v>[81] “EXECUTIVE SUMMARY: SAFE SPEEDS SF HIGH VISIBILITY ENFORCEMENT CAMPAIGN FINDINGS.” Vision Zero San Francisco, November 2019. https://www.sfmta.com/sites/default/files/reports-and-documents/2020/02/safespeedssfhvecampaignfindingswithappendices_2020.01.pdf.</v>
      </c>
      <c r="O45" s="34" t="s">
        <v>273</v>
      </c>
      <c r="P45" s="38" t="str">
        <f>HYPERLINK("https://journals.sagepub.com/doi/pdf/10.3141/2009-08","[82] Bonneson, James A., and Karl Zimmerman. “Safety Effect of Officer Enforcement Programs That Target Red Light Violations.” Transportation Research Record 2009, no. 1 (January 1, 2007): 55–64. https://doi.org/10.3141/2009-08.")</f>
        <v>[82] Bonneson, James A., and Karl Zimmerman. “Safety Effect of Officer Enforcement Programs That Target Red Light Violations.” Transportation Research Record 2009, no. 1 (January 1, 2007): 55–64. https://doi.org/10.3141/2009-08.</v>
      </c>
      <c r="Q45" s="34" t="s">
        <v>274</v>
      </c>
      <c r="R45" s="38" t="str">
        <f>HYPERLINK("https://onlinelibrary.wiley.com/doi/epdf/10.1901/jaba.2004.37-351","[83] Van Houten, Ron, and JE Louis Malenfant. “Effects of a Driver Enforcement Program on Yielding to Pedestrians.” Journal of Applied Behavior Analysis 37, no. 3 (2004): 351–63.")</f>
        <v>[83] Van Houten, Ron, and JE Louis Malenfant. “Effects of a Driver Enforcement Program on Yielding to Pedestrians.” Journal of Applied Behavior Analysis 37, no. 3 (2004): 351–63.</v>
      </c>
      <c r="S45" s="34" t="s">
        <v>275</v>
      </c>
      <c r="T45" s="34"/>
      <c r="U45" s="34"/>
      <c r="V45" s="34"/>
      <c r="W45" s="34"/>
      <c r="X45" s="34"/>
      <c r="Y45" s="34"/>
      <c r="Z45" s="34"/>
      <c r="AA45" s="34"/>
      <c r="AB45" s="34"/>
      <c r="AC45" s="34"/>
      <c r="AD45" s="34"/>
      <c r="AE45" s="34"/>
      <c r="AF45" s="34"/>
      <c r="AG45" s="34"/>
      <c r="AH45" s="34"/>
    </row>
    <row r="46" spans="1:34" ht="15.75" customHeight="1">
      <c r="A46" s="37" t="s">
        <v>276</v>
      </c>
      <c r="B46" s="32" t="s">
        <v>277</v>
      </c>
      <c r="C46" s="32" t="s">
        <v>45</v>
      </c>
      <c r="D46" s="32" t="s">
        <v>278</v>
      </c>
      <c r="E46" s="32" t="s">
        <v>27</v>
      </c>
      <c r="F46" s="32" t="s">
        <v>25</v>
      </c>
      <c r="G46" s="32" t="s">
        <v>279</v>
      </c>
      <c r="H46" s="32" t="s">
        <v>280</v>
      </c>
      <c r="I46" s="32" t="s">
        <v>281</v>
      </c>
      <c r="J46" s="34"/>
      <c r="K46" s="33"/>
      <c r="L46" s="38" t="str">
        <f>HYPERLINK("https://www.sciencedirect.com/science/article/abs/pii/S0001457509001067","[84] Erke, Alena, Charles Goldenbeld, and Truls Vaa. “The Effects of Drink-Driving Checkpoints on Crashes—A Meta-Analysis.” Accident Analysis &amp; Prevention 41, no. 5 (September 1, 2009): 914–23. https://doi.org/10.1016/j.aap.2009.05.005.")</f>
        <v>[84] Erke, Alena, Charles Goldenbeld, and Truls Vaa. “The Effects of Drink-Driving Checkpoints on Crashes—A Meta-Analysis.” Accident Analysis &amp; Prevention 41, no. 5 (September 1, 2009): 914–23. https://doi.org/10.1016/j.aap.2009.05.005.</v>
      </c>
      <c r="M46" s="32" t="s">
        <v>282</v>
      </c>
      <c r="N46" s="34"/>
      <c r="O46" s="34"/>
      <c r="P46" s="34"/>
      <c r="Q46" s="34"/>
      <c r="R46" s="34"/>
      <c r="S46" s="34"/>
      <c r="T46" s="34"/>
      <c r="U46" s="34"/>
      <c r="V46" s="34"/>
      <c r="W46" s="34"/>
      <c r="X46" s="34"/>
      <c r="Y46" s="34"/>
      <c r="Z46" s="34"/>
      <c r="AA46" s="34"/>
      <c r="AB46" s="34"/>
      <c r="AC46" s="34"/>
      <c r="AD46" s="34"/>
      <c r="AE46" s="34"/>
      <c r="AF46" s="34"/>
      <c r="AG46" s="34"/>
      <c r="AH46" s="34"/>
    </row>
    <row r="47" spans="1:34" ht="15.75" customHeight="1">
      <c r="A47" s="32" t="s">
        <v>283</v>
      </c>
      <c r="B47" s="32" t="s">
        <v>284</v>
      </c>
      <c r="C47" s="32" t="s">
        <v>45</v>
      </c>
      <c r="D47" s="38" t="str">
        <f>HYPERLINK("https://www.sciencedirect.com/science/article/abs/pii/S0001457516301051","Fatal collisions are reduced by 1–12%.")</f>
        <v>Fatal collisions are reduced by 1–12%.</v>
      </c>
      <c r="E47" s="32" t="s">
        <v>27</v>
      </c>
      <c r="F47" s="32" t="s">
        <v>25</v>
      </c>
      <c r="G47" s="32" t="s">
        <v>285</v>
      </c>
      <c r="H47" s="32" t="s">
        <v>286</v>
      </c>
      <c r="I47" s="32" t="s">
        <v>287</v>
      </c>
      <c r="J47" s="34"/>
      <c r="K47" s="33"/>
      <c r="L47" s="38" t="str">
        <f>HYPERLINK("https://www.sciencedirect.com/science/article/abs/pii/S0001457516301051","[85] Elvik, Rune. “Association between Increase in Fixed Penalties and Road Safety Outcomes: A Meta-Analysis.” Accident Analysis &amp; Prevention 92 (July 1, 2016): 202–10. https://doi.org/10.1016/j.aap.2016.03.028.")</f>
        <v>[85] Elvik, Rune. “Association between Increase in Fixed Penalties and Road Safety Outcomes: A Meta-Analysis.” Accident Analysis &amp; Prevention 92 (July 1, 2016): 202–10. https://doi.org/10.1016/j.aap.2016.03.028.</v>
      </c>
      <c r="M47" s="32" t="s">
        <v>288</v>
      </c>
      <c r="N47" s="38" t="str">
        <f>HYPERLINK("https://onlinelibrary.wiley.com/doi/full/10.1002/pam.21798?casa_token=FJ8qrXZh3RoAAAAA%3AfpM5lUS4feCn3vBxhk0S2yA7vTGBG53KdfbXIiDxr43QK6SeGRyefv02tMF2ecTDYyCWvAyCDmFbwDgekQ","[86] Luca, Dara Lee. “Do Traffic Tickets Reduce Motor Vehicle Accidents? Evidence from a Natural Experiment.” Journal of Policy Analysis and Management 34, no. 1 (2015): 85–106. https://doi.org/10.1002/pam.21798.")</f>
        <v>[86] Luca, Dara Lee. “Do Traffic Tickets Reduce Motor Vehicle Accidents? Evidence from a Natural Experiment.” Journal of Policy Analysis and Management 34, no. 1 (2015): 85–106. https://doi.org/10.1002/pam.21798.</v>
      </c>
      <c r="O47" s="32" t="s">
        <v>289</v>
      </c>
      <c r="P47" s="38" t="str">
        <f>HYPERLINK("https://papers.ssrn.com/sol3/papers.cfm?abstract_id=3523528","[87] Bauernschuster, Stefan, and Ramona Rekers. “Speed Limit Enforcement and Road Safety.” SSRN Scholarly Paper. Rochester, NY: Social Science Research Network, 2019. https://papers.ssrn.com/abstract=3523528.")</f>
        <v>[87] Bauernschuster, Stefan, and Ramona Rekers. “Speed Limit Enforcement and Road Safety.” SSRN Scholarly Paper. Rochester, NY: Social Science Research Network, 2019. https://papers.ssrn.com/abstract=3523528.</v>
      </c>
      <c r="Q47" s="32" t="s">
        <v>290</v>
      </c>
      <c r="R47" s="38" t="str">
        <f>HYPERLINK("https://journals.sagepub.com/doi/abs/10.3141/2009-08?casa_token=T559CSHmLC0AAAAA:xBpOhi-8ypEO7y7zcRjUDRin0Qdk6n9dZOAM-Znv3_2yV6CvwBcpY8bmJ66RD8OxRxLwWmpcLlq3cOk","[88] Bonneson, James A., and Karl Zimmerman. “Safety Effect of Officer Enforcement Programs That Target Red Light Violations.” Transportation Research Record 2009, no. 1 (January 1, 2007): 55–64. https://doi.org/10.3141/2009-08.")</f>
        <v>[88] Bonneson, James A., and Karl Zimmerman. “Safety Effect of Officer Enforcement Programs That Target Red Light Violations.” Transportation Research Record 2009, no. 1 (January 1, 2007): 55–64. https://doi.org/10.3141/2009-08.</v>
      </c>
      <c r="S47" s="34" t="s">
        <v>291</v>
      </c>
      <c r="T47" s="34"/>
      <c r="U47" s="34"/>
      <c r="V47" s="34"/>
      <c r="W47" s="34"/>
      <c r="X47" s="34"/>
      <c r="Y47" s="34"/>
      <c r="Z47" s="34"/>
      <c r="AA47" s="34"/>
      <c r="AB47" s="34"/>
      <c r="AC47" s="34"/>
      <c r="AD47" s="34"/>
      <c r="AE47" s="34"/>
      <c r="AF47" s="34"/>
      <c r="AG47" s="34"/>
      <c r="AH47" s="34"/>
    </row>
    <row r="48" spans="1:34" ht="15.75">
      <c r="A48" s="37" t="s">
        <v>292</v>
      </c>
      <c r="B48" s="32" t="s">
        <v>293</v>
      </c>
      <c r="C48" s="32" t="s">
        <v>45</v>
      </c>
      <c r="D48" s="34" t="s">
        <v>294</v>
      </c>
      <c r="E48" s="34"/>
      <c r="F48" s="34"/>
      <c r="G48" s="34"/>
      <c r="H48" s="34"/>
      <c r="I48" s="34"/>
      <c r="J48" s="34"/>
      <c r="K48" s="33"/>
      <c r="L48" s="38" t="str">
        <f>HYPERLINK("https://www.sciencedirect.com/science/article/pii/S0022437504000805","[89] Masten, Scott V., and Raymond C. Peck. “Problem Driver Remediation: A Meta-Analysis of the Driver Improvement Literature.” Journal of Safety Research 35, no. 4 (January 1, 2004): 403–25. https://doi.org/10.1016/j.jsr.2004.06.002.")</f>
        <v>[89] Masten, Scott V., and Raymond C. Peck. “Problem Driver Remediation: A Meta-Analysis of the Driver Improvement Literature.” Journal of Safety Research 35, no. 4 (January 1, 2004): 403–25. https://doi.org/10.1016/j.jsr.2004.06.002.</v>
      </c>
      <c r="M48" s="34" t="s">
        <v>295</v>
      </c>
      <c r="N48" s="34"/>
      <c r="O48" s="34"/>
      <c r="P48" s="34"/>
      <c r="Q48" s="34"/>
      <c r="R48" s="34"/>
      <c r="S48" s="34"/>
      <c r="T48" s="34"/>
      <c r="U48" s="34"/>
      <c r="V48" s="34"/>
      <c r="W48" s="34"/>
      <c r="X48" s="34"/>
      <c r="Y48" s="34"/>
      <c r="Z48" s="34"/>
      <c r="AA48" s="34"/>
      <c r="AB48" s="34"/>
      <c r="AC48" s="34"/>
      <c r="AD48" s="34"/>
      <c r="AE48" s="34"/>
      <c r="AF48" s="34"/>
      <c r="AG48" s="34"/>
      <c r="AH48" s="34"/>
    </row>
    <row r="49" spans="1:34" ht="15.75" customHeight="1">
      <c r="A49" s="37" t="s">
        <v>296</v>
      </c>
      <c r="B49" s="32" t="s">
        <v>297</v>
      </c>
      <c r="C49" s="32" t="s">
        <v>38</v>
      </c>
      <c r="D49" s="34" t="s">
        <v>298</v>
      </c>
      <c r="E49" s="32" t="s">
        <v>27</v>
      </c>
      <c r="F49" s="32" t="s">
        <v>25</v>
      </c>
      <c r="G49" s="32" t="s">
        <v>299</v>
      </c>
      <c r="H49" s="46" t="s">
        <v>300</v>
      </c>
      <c r="I49" s="32" t="s">
        <v>301</v>
      </c>
      <c r="J49" s="34"/>
      <c r="K49" s="33"/>
      <c r="L49" s="38" t="str">
        <f>HYPERLINK("https://www.aeaweb.org/articles?id=10.1257/pol.6.2.231","[90] DeAngelo, Gregory, and Benjamin Hansen. “Life and Death in the Fast Lane: Police Enforcement and Traffic Fatalities.” American Economic Journal: Economic Policy 6, no. 2 (2014): 231–57.")</f>
        <v>[90] DeAngelo, Gregory, and Benjamin Hansen. “Life and Death in the Fast Lane: Police Enforcement and Traffic Fatalities.” American Economic Journal: Economic Policy 6, no. 2 (2014): 231–57.</v>
      </c>
      <c r="M49" s="34" t="s">
        <v>302</v>
      </c>
      <c r="N49" s="32"/>
      <c r="O49" s="34"/>
      <c r="P49" s="34"/>
      <c r="Q49" s="34"/>
      <c r="R49" s="34"/>
      <c r="S49" s="34"/>
      <c r="T49" s="34"/>
      <c r="U49" s="34"/>
      <c r="V49" s="34"/>
      <c r="W49" s="34"/>
      <c r="X49" s="34"/>
      <c r="Y49" s="34"/>
      <c r="Z49" s="34"/>
      <c r="AA49" s="34"/>
      <c r="AB49" s="34"/>
      <c r="AC49" s="34"/>
      <c r="AD49" s="34"/>
      <c r="AE49" s="34"/>
      <c r="AF49" s="34"/>
      <c r="AG49" s="34"/>
      <c r="AH49" s="34"/>
    </row>
    <row r="50" spans="1:34" ht="15.75" customHeight="1">
      <c r="A50" s="37" t="s">
        <v>303</v>
      </c>
      <c r="B50" s="32" t="s">
        <v>304</v>
      </c>
      <c r="C50" s="32" t="s">
        <v>38</v>
      </c>
      <c r="D50" s="32" t="s">
        <v>305</v>
      </c>
      <c r="E50" s="32" t="s">
        <v>27</v>
      </c>
      <c r="F50" s="32" t="s">
        <v>25</v>
      </c>
      <c r="G50" s="32" t="s">
        <v>25</v>
      </c>
      <c r="H50" s="46" t="s">
        <v>306</v>
      </c>
      <c r="I50" s="32" t="s">
        <v>307</v>
      </c>
      <c r="J50" s="32" t="s">
        <v>308</v>
      </c>
      <c r="K50" s="33" t="s">
        <v>251</v>
      </c>
      <c r="L50" s="38" t="str">
        <f>HYPERLINK("https://link.springer.com/article/10.1186/s12889-015-2065-y","[91] Rothman, Linda, Daniel Perry, Ron Buliung, Colin Macarthur, Teresa To, Alison Macpherson, Kristian Larsen, and Andrew Howard. “Do School Crossing Guards Make Crossing Roads Safer? A Quasi-Experimental Study of Pedestrian-Motor Vehicle Collisions in T"&amp;"oronto, Canada.” BMC Public Health 15, no. 1 (July 31, 2015): 732. https://doi.org/10.1186/s12889-015-2065-y.")</f>
        <v>[91] Rothman, Linda, Daniel Perry, Ron Buliung, Colin Macarthur, Teresa To, Alison Macpherson, Kristian Larsen, and Andrew Howard. “Do School Crossing Guards Make Crossing Roads Safer? A Quasi-Experimental Study of Pedestrian-Motor Vehicle Collisions in Toronto, Canada.” BMC Public Health 15, no. 1 (July 31, 2015): 732. https://doi.org/10.1186/s12889-015-2065-y.</v>
      </c>
      <c r="M50" s="32" t="s">
        <v>309</v>
      </c>
      <c r="N50" s="38" t="s">
        <v>310</v>
      </c>
      <c r="O50" s="34" t="s">
        <v>311</v>
      </c>
      <c r="P50" s="38"/>
      <c r="Q50" s="34"/>
      <c r="R50" s="34"/>
      <c r="S50" s="34"/>
      <c r="T50" s="34"/>
      <c r="U50" s="34"/>
      <c r="V50" s="34"/>
      <c r="W50" s="34"/>
      <c r="X50" s="34"/>
      <c r="Y50" s="34"/>
      <c r="Z50" s="34"/>
      <c r="AA50" s="34"/>
      <c r="AB50" s="34"/>
      <c r="AC50" s="34"/>
      <c r="AD50" s="34"/>
      <c r="AE50" s="34"/>
      <c r="AF50" s="34"/>
      <c r="AG50" s="34"/>
      <c r="AH50" s="34"/>
    </row>
    <row r="51" spans="1:34" ht="15.75" customHeight="1">
      <c r="A51" s="37" t="s">
        <v>312</v>
      </c>
      <c r="B51" s="32" t="s">
        <v>313</v>
      </c>
      <c r="C51" s="32" t="s">
        <v>38</v>
      </c>
      <c r="D51" s="32" t="s">
        <v>314</v>
      </c>
      <c r="E51" s="32" t="s">
        <v>38</v>
      </c>
      <c r="F51" s="32" t="s">
        <v>25</v>
      </c>
      <c r="G51" s="32" t="s">
        <v>25</v>
      </c>
      <c r="H51" s="32" t="s">
        <v>315</v>
      </c>
      <c r="I51" s="32"/>
      <c r="J51" s="34"/>
      <c r="K51" s="33"/>
      <c r="L51" s="38" t="str">
        <f>HYPERLINK("https://journals.sagepub.com/doi/abs/10.3141/2387-11","[93] “Characteristics of Multimodal Conflicts in Urban On-Street Bicycle Lanes - Alison Conway, Jialei Cheng, Diniece Peters, Nicholas Lownes, 2013.” Accessed April 2, 2020. https://journals.sagepub.com/doi/abs/10.3141/2387-11.")</f>
        <v>[93] “Characteristics of Multimodal Conflicts in Urban On-Street Bicycle Lanes - Alison Conway, Jialei Cheng, Diniece Peters, Nicholas Lownes, 2013.” Accessed April 2, 2020. https://journals.sagepub.com/doi/abs/10.3141/2387-11.</v>
      </c>
      <c r="M51" s="32" t="s">
        <v>316</v>
      </c>
      <c r="N51" s="38" t="str">
        <f>HYPERLINK("https://www.researchgate.net/profile/Jingqin_Gao/publication/318990329_Modeling_Double_Parking_Impacts_on_Urban_Street/links/598a067daca2724358516b33/Modeling-Double-Parking-Impacts-on-Urban-Street.pdf","[94] Kaan Ozbay, and Jingqin Gao. “Modeling Double Parking Impacts on Urban Street,” 2016. https://www.researchgate.net/publication/318990329_Modeling_Double_Parking_Impacts_on_Urban_Street?enrichId=rgreq-7f8d543fac88232c37120eedcbcdb500-XXX&amp;enrichSource="&amp;"Y292ZXJQYWdlOzMxODk5MDMyOTtBUzo1MjUxNTM4OTE0ODc3NDRAMTUwMjIxNzg1MjgxNA%3D%3D&amp;el=1_x_2&amp;_esc=publicationCoverPdf.
")</f>
        <v xml:space="preserve">[94] Kaan Ozbay, and Jingqin Gao. “Modeling Double Parking Impacts on Urban Street,” 2016. https://www.researchgate.net/publication/318990329_Modeling_Double_Parking_Impacts_on_Urban_Street?enrichId=rgreq-7f8d543fac88232c37120eedcbcdb500-XXX&amp;enrichSource=Y292ZXJQYWdlOzMxODk5MDMyOTtBUzo1MjUxNTM4OTE0ODc3NDRAMTUwMjIxNzg1MjgxNA%3D%3D&amp;el=1_x_2&amp;_esc=publicationCoverPdf.
</v>
      </c>
      <c r="O51" s="32" t="s">
        <v>317</v>
      </c>
      <c r="P51" s="34"/>
      <c r="Q51" s="32"/>
      <c r="R51" s="34"/>
      <c r="S51" s="34"/>
      <c r="T51" s="34"/>
      <c r="U51" s="34"/>
      <c r="V51" s="34"/>
      <c r="W51" s="34"/>
      <c r="X51" s="34"/>
      <c r="Y51" s="34"/>
      <c r="Z51" s="34"/>
      <c r="AA51" s="34"/>
      <c r="AB51" s="34"/>
      <c r="AC51" s="34"/>
      <c r="AD51" s="34"/>
      <c r="AE51" s="34"/>
      <c r="AF51" s="34"/>
      <c r="AG51" s="34"/>
      <c r="AH51" s="34"/>
    </row>
    <row r="52" spans="1:34" ht="22.5" customHeight="1">
      <c r="A52" s="61" t="s">
        <v>318</v>
      </c>
      <c r="B52" s="62"/>
      <c r="C52" s="62"/>
      <c r="D52" s="62"/>
      <c r="E52" s="62"/>
      <c r="F52" s="62"/>
      <c r="G52" s="62"/>
      <c r="H52" s="62"/>
      <c r="I52" s="62"/>
      <c r="J52" s="63"/>
      <c r="K52" s="35"/>
      <c r="L52" s="50"/>
      <c r="M52" s="36"/>
      <c r="N52" s="36"/>
      <c r="O52" s="36"/>
      <c r="P52" s="36"/>
      <c r="Q52" s="36"/>
      <c r="R52" s="36"/>
      <c r="S52" s="36"/>
      <c r="T52" s="36"/>
      <c r="U52" s="36"/>
      <c r="V52" s="36"/>
      <c r="W52" s="36"/>
      <c r="X52" s="36"/>
      <c r="Y52" s="36"/>
      <c r="Z52" s="36"/>
      <c r="AA52" s="36"/>
      <c r="AB52" s="36"/>
      <c r="AC52" s="36"/>
      <c r="AD52" s="36"/>
      <c r="AE52" s="36"/>
      <c r="AF52" s="36"/>
      <c r="AG52" s="36"/>
      <c r="AH52" s="36"/>
    </row>
    <row r="53" spans="1:34" ht="15.75" customHeight="1">
      <c r="A53" s="37" t="s">
        <v>319</v>
      </c>
      <c r="B53" s="39" t="s">
        <v>320</v>
      </c>
      <c r="C53" s="32" t="s">
        <v>36</v>
      </c>
      <c r="D53" s="34" t="s">
        <v>321</v>
      </c>
      <c r="E53" s="32" t="s">
        <v>38</v>
      </c>
      <c r="F53" s="32" t="s">
        <v>25</v>
      </c>
      <c r="G53" s="51"/>
      <c r="H53" s="51"/>
      <c r="I53" s="51"/>
      <c r="J53" s="32" t="s">
        <v>166</v>
      </c>
      <c r="K53" s="33" t="s">
        <v>322</v>
      </c>
      <c r="L53" s="38" t="str">
        <f>HYPERLINK("https://injuryprevention.bmj.com/content/8/1/10.full#ref-10","[95] Schieber, R., and M. Vegega. “Education versus Environmental Countermeasures.” Injury Prevention 8, no. 1 (March 1, 2002): 10–11. https://doi.org/10.1136/ip.8.1.10.")</f>
        <v>[95] Schieber, R., and M. Vegega. “Education versus Environmental Countermeasures.” Injury Prevention 8, no. 1 (March 1, 2002): 10–11. https://doi.org/10.1136/ip.8.1.10.</v>
      </c>
      <c r="M53" s="34" t="s">
        <v>323</v>
      </c>
      <c r="N53" s="38" t="str">
        <f>HYPERLINK("https://www.jstor.org/stable/1602826?casa_token=rAFxPNqmeFoAAAAA:mZo5J91PU8161aJ_GV6fXoxg0OOjW6TYc_OPsvod_kEa4ZO8wtyTD0LBvHRXTQEECewPXACn6HNFw-4XjgZNmdP6qVczjXWyIk_IUa3g68bDknUYtaz_RQ#metadata_info_tab_contents","[96] Klassen, Terry P, J Morag MacKay, David Moher, Annie Walker, and Alison L Jones. “Community-Based Injury Prevention Interventions.” The Future of Children, 2000, 83–110.")</f>
        <v>[96] Klassen, Terry P, J Morag MacKay, David Moher, Annie Walker, and Alison L Jones. “Community-Based Injury Prevention Interventions.” The Future of Children, 2000, 83–110.</v>
      </c>
      <c r="O53" s="34"/>
      <c r="P53" s="38" t="str">
        <f>HYPERLINK("https://trid.trb.org/view/207070","[97] Blomberg, R. D., D. F. Preusser, A. Hale, and W. A. Leaf. “EXPERIMENTAL FIELD TEST OF PROPOSED PEDESTRIAN SAFETY MESSAGES--VOLUME II. CHILD MESSAGES,” November 1983. https://trid.trb.org/view/207070.")</f>
        <v>[97] Blomberg, R. D., D. F. Preusser, A. Hale, and W. A. Leaf. “EXPERIMENTAL FIELD TEST OF PROPOSED PEDESTRIAN SAFETY MESSAGES--VOLUME II. CHILD MESSAGES,” November 1983. https://trid.trb.org/view/207070.</v>
      </c>
      <c r="Q53" s="34"/>
      <c r="R53" s="34"/>
      <c r="S53" s="34"/>
      <c r="T53" s="34"/>
      <c r="U53" s="51"/>
      <c r="V53" s="51"/>
      <c r="W53" s="51"/>
      <c r="X53" s="51"/>
      <c r="Y53" s="51"/>
      <c r="Z53" s="51"/>
      <c r="AA53" s="51"/>
      <c r="AB53" s="51"/>
      <c r="AC53" s="51"/>
      <c r="AD53" s="51"/>
      <c r="AE53" s="51"/>
      <c r="AF53" s="51"/>
      <c r="AG53" s="51"/>
      <c r="AH53" s="51"/>
    </row>
    <row r="54" spans="1:34" ht="15.75" customHeight="1">
      <c r="A54" s="37" t="s">
        <v>324</v>
      </c>
      <c r="B54" s="32" t="s">
        <v>325</v>
      </c>
      <c r="C54" s="32" t="s">
        <v>45</v>
      </c>
      <c r="D54" s="34" t="s">
        <v>326</v>
      </c>
      <c r="E54" s="32" t="s">
        <v>25</v>
      </c>
      <c r="F54" s="32" t="s">
        <v>25</v>
      </c>
      <c r="G54" s="51"/>
      <c r="H54" s="32" t="s">
        <v>327</v>
      </c>
      <c r="I54" s="51"/>
      <c r="J54" s="51"/>
      <c r="K54" s="52"/>
      <c r="L54" s="38" t="str">
        <f>HYPERLINK("https://www.tandfonline.com/doi/abs/10.1080/17457300.2010.540330","[98] Hutchinson, T. P., and L. N. Wundersitz. “Road Safety Mass Media Campaigns: Why Are Results Inconclusive, and What Can Be Done?” International Journal of Injury Control and Safety Promotion 18, no. 3 (September 1, 2011): 235–41. https://doi.org/10.10"&amp;"80/17457300.2010.540330.")</f>
        <v>[98] Hutchinson, T. P., and L. N. Wundersitz. “Road Safety Mass Media Campaigns: Why Are Results Inconclusive, and What Can Be Done?” International Journal of Injury Control and Safety Promotion 18, no. 3 (September 1, 2011): 235–41. https://doi.org/10.1080/17457300.2010.540330.</v>
      </c>
      <c r="M54" s="34" t="s">
        <v>328</v>
      </c>
      <c r="N54" s="38" t="s">
        <v>329</v>
      </c>
      <c r="O54" s="34" t="s">
        <v>330</v>
      </c>
      <c r="P54" s="38" t="str">
        <f>HYPERLINK("https://www.emerald.com/insight/content/doi/10.1108/9781848552517-012/full/html?casa_token=4bAg72nreO4AAAAA:wBVFcEVpmFcGTuwq5Kk-1idnNSiaxr2yGZXMUa3BEUhD7KRdMkrLCFzvqxHPyLTRJjfmbsdH_jOIqmp-CFaICeG-q9x85hLK-UlTSLni73VdO_Kab7zLig","[100] Elvik, Rune, Truls Vaa, Alena Hoye, and Michael Sorensen. The Handbook of Road Safety Measures. Emerald Group Publishing, 2009.")</f>
        <v>[100] Elvik, Rune, Truls Vaa, Alena Hoye, and Michael Sorensen. The Handbook of Road Safety Measures. Emerald Group Publishing, 2009.</v>
      </c>
      <c r="Q54" s="32" t="s">
        <v>331</v>
      </c>
      <c r="R54" s="38" t="str">
        <f>HYPERLINK("https://www.mphindustries.com/wp-content/uploads/2018/03/speed-safety-study.pdf","[101] National Transportation Safety Board. “Reducing Speeding-Related Crashes Involving Passenger Vehicles.” National Transportation Safety Board Washington, DC, July 25, 2017.")</f>
        <v>[101] National Transportation Safety Board. “Reducing Speeding-Related Crashes Involving Passenger Vehicles.” National Transportation Safety Board Washington, DC, July 25, 2017.</v>
      </c>
      <c r="S54" s="32" t="s">
        <v>332</v>
      </c>
      <c r="T54" s="34" t="s">
        <v>333</v>
      </c>
      <c r="U54" s="51"/>
      <c r="V54" s="51"/>
      <c r="W54" s="51"/>
      <c r="X54" s="51"/>
      <c r="Y54" s="51"/>
      <c r="Z54" s="51"/>
      <c r="AA54" s="51"/>
      <c r="AB54" s="51"/>
      <c r="AC54" s="51"/>
      <c r="AD54" s="51"/>
      <c r="AE54" s="51"/>
      <c r="AF54" s="51"/>
      <c r="AG54" s="51"/>
      <c r="AH54" s="51"/>
    </row>
    <row r="55" spans="1:34" ht="15.75" customHeight="1">
      <c r="A55" s="37" t="s">
        <v>334</v>
      </c>
      <c r="B55" s="32" t="s">
        <v>335</v>
      </c>
      <c r="C55" s="32" t="s">
        <v>38</v>
      </c>
      <c r="D55" s="34" t="s">
        <v>336</v>
      </c>
      <c r="E55" s="32" t="s">
        <v>38</v>
      </c>
      <c r="F55" s="32" t="s">
        <v>25</v>
      </c>
      <c r="G55" s="51"/>
      <c r="H55" s="51"/>
      <c r="I55" s="51"/>
      <c r="J55" s="51"/>
      <c r="K55" s="52"/>
      <c r="L55" s="38" t="str">
        <f>HYPERLINK("https://www.sciencedirect.com/science/article/abs/pii/S0001457518300733","[103] Anstey, Kaarin J., Ranmalee Eramudugolla, Kim M. Kiely, and Jasmine Price. “Effect of Tailored On-Road Driving Lessons on Driving Safety in Older Adults: A Randomised Controlled Trial.” Accident Analysis &amp; Prevention 115 (June 1, 2018): 1–10. https:"&amp;"//doi.org/10.1016/j.aap.2018.02.016.")</f>
        <v>[103] Anstey, Kaarin J., Ranmalee Eramudugolla, Kim M. Kiely, and Jasmine Price. “Effect of Tailored On-Road Driving Lessons on Driving Safety in Older Adults: A Randomised Controlled Trial.” Accident Analysis &amp; Prevention 115 (June 1, 2018): 1–10. https://doi.org/10.1016/j.aap.2018.02.016.</v>
      </c>
      <c r="M55" s="34" t="s">
        <v>337</v>
      </c>
      <c r="N55" s="38" t="str">
        <f>HYPERLINK("https://www.sciencedirect.com/science/article/pii/S0022437504000805","[104] Masten, Scott V., and Raymond C. Peck. “Problem Driver Remediation: A Meta-Analysis of the Driver Improvement Literature.” Journal of Safety Research 35, no. 4 (January 1, 2004): 403–25. https://doi.org/10.1016/j.jsr.2004.06.002.")</f>
        <v>[104] Masten, Scott V., and Raymond C. Peck. “Problem Driver Remediation: A Meta-Analysis of the Driver Improvement Literature.” Journal of Safety Research 35, no. 4 (January 1, 2004): 403–25. https://doi.org/10.1016/j.jsr.2004.06.002.</v>
      </c>
      <c r="O55" s="34" t="s">
        <v>338</v>
      </c>
      <c r="P55" s="38" t="str">
        <f>HYPERLINK("https://www.sciencedirect.com/science/article/abs/pii/S0001457518301477","[105] Wang, Xuesong, Yilun Xing, Lian Luo, and Rongjie Yu. “Evaluating the Effectiveness of Behavior-Based Safety Education Methods for Commercial Vehicle Drivers.” Accident Analysis &amp; Prevention 117 (August 1, 2018): 114–20. https://doi.org/10.1016/j.aap"&amp;".2018.04.008.")</f>
        <v>[105] Wang, Xuesong, Yilun Xing, Lian Luo, and Rongjie Yu. “Evaluating the Effectiveness of Behavior-Based Safety Education Methods for Commercial Vehicle Drivers.” Accident Analysis &amp; Prevention 117 (August 1, 2018): 114–20. https://doi.org/10.1016/j.aap.2018.04.008.</v>
      </c>
      <c r="Q55" s="34" t="s">
        <v>339</v>
      </c>
      <c r="R55" s="34"/>
      <c r="S55" s="34"/>
      <c r="T55" s="34"/>
      <c r="U55" s="51"/>
      <c r="V55" s="51"/>
      <c r="W55" s="51"/>
      <c r="X55" s="51"/>
      <c r="Y55" s="51"/>
      <c r="Z55" s="51"/>
      <c r="AA55" s="51"/>
      <c r="AB55" s="51"/>
      <c r="AC55" s="51"/>
      <c r="AD55" s="51"/>
      <c r="AE55" s="51"/>
      <c r="AF55" s="51"/>
      <c r="AG55" s="51"/>
      <c r="AH55" s="51"/>
    </row>
    <row r="56" spans="1:34" ht="15.75" customHeight="1">
      <c r="A56" s="37" t="s">
        <v>340</v>
      </c>
      <c r="B56" s="32" t="s">
        <v>341</v>
      </c>
      <c r="C56" s="32" t="s">
        <v>38</v>
      </c>
      <c r="D56" s="34" t="s">
        <v>342</v>
      </c>
      <c r="E56" s="32" t="s">
        <v>38</v>
      </c>
      <c r="F56" s="32" t="s">
        <v>25</v>
      </c>
      <c r="G56" s="51"/>
      <c r="H56" s="38" t="str">
        <f>HYPERLINK("https://stars.library.ucf.edu/etd/5361/","- Certain populations are less likely to wear a helmet - a bicyclist's age, gender, education, and income level can influence bicycle helmet use")</f>
        <v>- Certain populations are less likely to wear a helmet - a bicyclist's age, gender, education, and income level can influence bicycle helmet use</v>
      </c>
      <c r="I56" s="32" t="s">
        <v>343</v>
      </c>
      <c r="J56" s="53"/>
      <c r="K56" s="52"/>
      <c r="L56" s="38" t="str">
        <f>HYPERLINK("https://www.jstor.org/stable/1602826?casa_token=_nEj29vrkuQAAAAA:2Iaa0s1JtagLOLYKwAVcsMCufnidk6Redn_gs3DKBPIvygSiONhi-3wSpiAipu__xTvcJR8GKMjzeOOw3NwpQwlz-8ZYEj1wNPLMtfTi83-WX-E4PSEqxQ&amp;seq=1#metadata_info_tab_contents","[106] Klassen, Terry P., J. Morag MacKay, David Moher, Annie Walker, and Alison L. Jones. “Community-Based Injury Prevention Interventions.” The Future of Children 10, no. 1 (2000): 83–110. https://doi.org/10.2307/1602826.")</f>
        <v>[106] Klassen, Terry P., J. Morag MacKay, David Moher, Annie Walker, and Alison L. Jones. “Community-Based Injury Prevention Interventions.” The Future of Children 10, no. 1 (2000): 83–110. https://doi.org/10.2307/1602826.</v>
      </c>
      <c r="M56" s="34"/>
      <c r="N56" s="34" t="s">
        <v>344</v>
      </c>
      <c r="O56" s="32" t="s">
        <v>345</v>
      </c>
      <c r="P56" s="34"/>
      <c r="Q56" s="32"/>
      <c r="R56" s="34"/>
      <c r="S56" s="34"/>
      <c r="T56" s="54"/>
      <c r="U56" s="51"/>
      <c r="V56" s="51"/>
      <c r="W56" s="51"/>
      <c r="X56" s="51"/>
      <c r="Y56" s="51"/>
      <c r="Z56" s="51"/>
      <c r="AA56" s="51"/>
      <c r="AB56" s="51"/>
      <c r="AC56" s="51"/>
      <c r="AD56" s="51"/>
      <c r="AE56" s="51"/>
      <c r="AF56" s="51"/>
      <c r="AG56" s="51"/>
      <c r="AH56" s="51"/>
    </row>
    <row r="57" spans="1:34" ht="15.75" customHeight="1">
      <c r="A57" s="37" t="s">
        <v>346</v>
      </c>
      <c r="B57" s="32" t="s">
        <v>347</v>
      </c>
      <c r="C57" s="32" t="s">
        <v>38</v>
      </c>
      <c r="D57" s="34" t="s">
        <v>348</v>
      </c>
      <c r="E57" s="32" t="s">
        <v>38</v>
      </c>
      <c r="F57" s="32" t="s">
        <v>25</v>
      </c>
      <c r="G57" s="51"/>
      <c r="H57" s="32" t="s">
        <v>349</v>
      </c>
      <c r="I57" s="32" t="s">
        <v>350</v>
      </c>
      <c r="J57" s="51"/>
      <c r="K57" s="52"/>
      <c r="L57" s="38" t="str">
        <f>HYPERLINK("https://link.springer.com/article/10.1057/s41302-019-00160-5","Mammen, Kristin, Hyoung Suk Shim, and Bryan S. Weber. “Vision Zero: Speed Limit Reduction and Traffic Injury Prevention in New York City.” Eastern Economic Journal 46, no. 2 (April 1, 2020): 282–300. https://doi.org/10.1057/s41302-019-00160-5.")</f>
        <v>Mammen, Kristin, Hyoung Suk Shim, and Bryan S. Weber. “Vision Zero: Speed Limit Reduction and Traffic Injury Prevention in New York City.” Eastern Economic Journal 46, no. 2 (April 1, 2020): 282–300. https://doi.org/10.1057/s41302-019-00160-5.</v>
      </c>
      <c r="M57" s="34" t="s">
        <v>351</v>
      </c>
      <c r="N57" s="34" t="s">
        <v>352</v>
      </c>
      <c r="O57" s="34"/>
      <c r="P57" s="34"/>
      <c r="Q57" s="34"/>
      <c r="R57" s="34"/>
      <c r="S57" s="34"/>
      <c r="T57" s="34"/>
      <c r="U57" s="51"/>
      <c r="V57" s="51"/>
      <c r="W57" s="51"/>
      <c r="X57" s="51"/>
      <c r="Y57" s="51"/>
      <c r="Z57" s="51"/>
      <c r="AA57" s="51"/>
      <c r="AB57" s="51"/>
      <c r="AC57" s="51"/>
      <c r="AD57" s="51"/>
      <c r="AE57" s="51"/>
      <c r="AF57" s="51"/>
      <c r="AG57" s="51"/>
      <c r="AH57" s="51"/>
    </row>
    <row r="58" spans="1:34" ht="15.75" customHeight="1">
      <c r="A58" s="37" t="s">
        <v>353</v>
      </c>
      <c r="B58" s="39" t="s">
        <v>354</v>
      </c>
      <c r="C58" s="32" t="s">
        <v>38</v>
      </c>
      <c r="D58" s="34" t="s">
        <v>355</v>
      </c>
      <c r="E58" s="32" t="s">
        <v>38</v>
      </c>
      <c r="F58" s="32" t="s">
        <v>25</v>
      </c>
      <c r="G58" s="32" t="s">
        <v>25</v>
      </c>
      <c r="H58" s="46" t="s">
        <v>356</v>
      </c>
      <c r="I58" s="32" t="s">
        <v>357</v>
      </c>
      <c r="J58" s="32" t="s">
        <v>358</v>
      </c>
      <c r="K58" s="33"/>
      <c r="L58" s="38" t="str">
        <f>HYPERLINK("https://journals.sagepub.com/doi/full/10.1177/2053951720907953","[110] Currie, Morgan. “Data as Performance – Showcasing Cities through Open Data Maps.” Big Data &amp; Society 7, no. 1 (January 1, 2020): 2053951720907953. https://doi.org/10.1177/2053951720907953.")</f>
        <v>[110] Currie, Morgan. “Data as Performance – Showcasing Cities through Open Data Maps.” Big Data &amp; Society 7, no. 1 (January 1, 2020): 2053951720907953. https://doi.org/10.1177/2053951720907953.</v>
      </c>
      <c r="M58" s="34" t="s">
        <v>359</v>
      </c>
      <c r="N58" s="34"/>
      <c r="O58" s="34"/>
      <c r="P58" s="34"/>
      <c r="Q58" s="34"/>
      <c r="R58" s="34"/>
      <c r="S58" s="34"/>
      <c r="T58" s="34"/>
      <c r="U58" s="51"/>
      <c r="V58" s="51"/>
      <c r="W58" s="51"/>
      <c r="X58" s="51"/>
      <c r="Y58" s="51"/>
      <c r="Z58" s="51"/>
      <c r="AA58" s="51"/>
      <c r="AB58" s="51"/>
      <c r="AC58" s="51"/>
      <c r="AD58" s="51"/>
      <c r="AE58" s="51"/>
      <c r="AF58" s="51"/>
      <c r="AG58" s="51"/>
      <c r="AH58" s="51"/>
    </row>
    <row r="59" spans="1:34" ht="23.25" customHeight="1">
      <c r="A59" s="61" t="s">
        <v>360</v>
      </c>
      <c r="B59" s="62"/>
      <c r="C59" s="62"/>
      <c r="D59" s="62"/>
      <c r="E59" s="62"/>
      <c r="F59" s="62"/>
      <c r="G59" s="62"/>
      <c r="H59" s="62"/>
      <c r="I59" s="62"/>
      <c r="J59" s="63"/>
      <c r="K59" s="35"/>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34" ht="15.75" customHeight="1">
      <c r="A60" s="37" t="s">
        <v>361</v>
      </c>
      <c r="B60" s="47" t="s">
        <v>362</v>
      </c>
      <c r="C60" s="47" t="s">
        <v>24</v>
      </c>
      <c r="D60" s="47" t="s">
        <v>363</v>
      </c>
      <c r="E60" s="47" t="s">
        <v>364</v>
      </c>
      <c r="F60" s="55"/>
      <c r="G60" s="26"/>
      <c r="H60" s="26"/>
      <c r="I60" s="26"/>
      <c r="J60" s="26"/>
      <c r="K60" s="56"/>
      <c r="L60" s="47" t="s">
        <v>365</v>
      </c>
      <c r="M60" s="47" t="s">
        <v>366</v>
      </c>
      <c r="N60" s="48" t="str">
        <f>HYPERLINK("https://pediatrics.aappublications.org/content/131/2/290.short?casa_token=ne_iTGg-pBMAAAAA:jdRtGIpIqszViVBQJmq2rsAkX46l-YERkNF7KlMiC1SedG_8MaFXYLllpmWm5rBLOEJr5T0xfA4WJw","[112] DiMaggio, Charles, and Guohua Li. “Effectiveness of a Safe Routes to School Program in Preventing School-Aged Pedestrian Injury.” Pediatrics 131, no. 2 (2013): 290–96.")</f>
        <v>[112] DiMaggio, Charles, and Guohua Li. “Effectiveness of a Safe Routes to School Program in Preventing School-Aged Pedestrian Injury.” Pediatrics 131, no. 2 (2013): 290–96.</v>
      </c>
      <c r="O60" s="47" t="s">
        <v>367</v>
      </c>
      <c r="P60" s="47"/>
      <c r="Q60" s="47"/>
      <c r="R60" s="26"/>
      <c r="S60" s="26"/>
      <c r="T60" s="26"/>
      <c r="U60" s="26"/>
      <c r="V60" s="26"/>
      <c r="W60" s="26"/>
      <c r="X60" s="26"/>
      <c r="Y60" s="26"/>
      <c r="Z60" s="26"/>
      <c r="AA60" s="26"/>
      <c r="AB60" s="26"/>
      <c r="AC60" s="26"/>
      <c r="AD60" s="26"/>
      <c r="AE60" s="26"/>
      <c r="AF60" s="26"/>
      <c r="AG60" s="26"/>
      <c r="AH60" s="26"/>
    </row>
    <row r="61" spans="1:34" ht="15.75" customHeight="1">
      <c r="A61" s="37" t="s">
        <v>368</v>
      </c>
      <c r="B61" s="47" t="s">
        <v>369</v>
      </c>
      <c r="C61" s="47" t="s">
        <v>24</v>
      </c>
      <c r="D61" s="26" t="s">
        <v>370</v>
      </c>
      <c r="E61" s="47" t="s">
        <v>38</v>
      </c>
      <c r="F61" s="47" t="s">
        <v>25</v>
      </c>
      <c r="G61" s="26"/>
      <c r="H61" s="57" t="s">
        <v>371</v>
      </c>
      <c r="I61" s="47" t="s">
        <v>372</v>
      </c>
      <c r="J61" s="26"/>
      <c r="K61" s="56"/>
      <c r="L61" s="26" t="s">
        <v>373</v>
      </c>
      <c r="M61" s="26" t="s">
        <v>374</v>
      </c>
      <c r="N61" s="48" t="s">
        <v>375</v>
      </c>
      <c r="O61" s="26" t="s">
        <v>376</v>
      </c>
      <c r="P61" s="48" t="str">
        <f>HYPERLINK("http://apps.who.int/iris/bitstream/10665/44256/1/9789241598965 _eng.pdf.","[115] World Health Organization. Data Systems: A Road Safety Manual for Decision-Makers and
Practitioners. 2010. ")</f>
        <v xml:space="preserve">[115] World Health Organization. Data Systems: A Road Safety Manual for Decision-Makers and
Practitioners. 2010. </v>
      </c>
      <c r="Q61" s="47" t="s">
        <v>377</v>
      </c>
      <c r="R61" s="26"/>
      <c r="S61" s="26"/>
      <c r="T61" s="26"/>
      <c r="U61" s="26"/>
      <c r="V61" s="26"/>
      <c r="W61" s="26"/>
      <c r="X61" s="26"/>
      <c r="Y61" s="26"/>
      <c r="Z61" s="26"/>
      <c r="AA61" s="26"/>
      <c r="AB61" s="26"/>
      <c r="AC61" s="26"/>
      <c r="AD61" s="26"/>
      <c r="AE61" s="26"/>
      <c r="AF61" s="26"/>
      <c r="AG61" s="26"/>
      <c r="AH61" s="26"/>
    </row>
    <row r="62" spans="1:34" ht="15.75" customHeight="1">
      <c r="A62" s="37" t="s">
        <v>378</v>
      </c>
      <c r="B62" s="47" t="s">
        <v>379</v>
      </c>
      <c r="C62" s="47" t="s">
        <v>24</v>
      </c>
      <c r="D62" s="47" t="s">
        <v>380</v>
      </c>
      <c r="E62" s="47" t="s">
        <v>38</v>
      </c>
      <c r="F62" s="47" t="s">
        <v>381</v>
      </c>
      <c r="G62" s="26"/>
      <c r="H62" s="26"/>
      <c r="I62" s="26"/>
      <c r="J62" s="26"/>
      <c r="K62" s="56"/>
      <c r="L62" s="48" t="str">
        <f>HYPERLINK("https://journals.sagepub.com/doi/abs/10.3141/2595-05?casa_token=9_S-PqQ7iYoAAAAA:jBLT3Y2EyS11097j5kR9vuiDshDJlExDDaTWupR9o_jbb-s1zG2pGYhuqjxlN1OMJemwdr2M87gtD7k","[116] Morris, Devan, and Megan Wier. “Geospatially Enabled Database for Analyzing Traffic Injuries in San Francisco, California.” Transportation Research Record 2595, no. 1 (January 1, 2016): 40–49. https://doi.org/10.3141/2595-05.")</f>
        <v>[116] Morris, Devan, and Megan Wier. “Geospatially Enabled Database for Analyzing Traffic Injuries in San Francisco, California.” Transportation Research Record 2595, no. 1 (January 1, 2016): 40–49. https://doi.org/10.3141/2595-05.</v>
      </c>
      <c r="M62" s="26" t="s">
        <v>382</v>
      </c>
      <c r="N62" s="48" t="s">
        <v>383</v>
      </c>
      <c r="O62" s="47" t="s">
        <v>384</v>
      </c>
      <c r="P62" s="48" t="str">
        <f>HYPERLINK("https://escholarship.org/uc/item/5hh9279d","[118] McAndrews, C. Road Safety in the Context of Urban Development in Sweden and
California. University of California, Berkeley, City and Regional Planning, 2010.")</f>
        <v>[118] McAndrews, C. Road Safety in the Context of Urban Development in Sweden and
California. University of California, Berkeley, City and Regional Planning, 2010.</v>
      </c>
      <c r="Q62" s="26" t="s">
        <v>385</v>
      </c>
      <c r="R62" s="26"/>
      <c r="S62" s="26"/>
      <c r="T62" s="26"/>
      <c r="U62" s="26"/>
      <c r="V62" s="26"/>
      <c r="W62" s="26"/>
      <c r="X62" s="26"/>
      <c r="Y62" s="26"/>
      <c r="Z62" s="26"/>
      <c r="AA62" s="26"/>
      <c r="AB62" s="26"/>
      <c r="AC62" s="26"/>
      <c r="AD62" s="26"/>
      <c r="AE62" s="26"/>
      <c r="AF62" s="26"/>
      <c r="AG62" s="26"/>
      <c r="AH62" s="26"/>
    </row>
    <row r="63" spans="1:34" ht="15.75" customHeight="1">
      <c r="A63" s="37" t="s">
        <v>386</v>
      </c>
      <c r="B63" s="47" t="s">
        <v>387</v>
      </c>
      <c r="C63" s="47" t="s">
        <v>38</v>
      </c>
      <c r="D63" s="47" t="s">
        <v>388</v>
      </c>
      <c r="E63" s="47" t="s">
        <v>38</v>
      </c>
      <c r="F63" s="47" t="s">
        <v>25</v>
      </c>
      <c r="G63" s="47" t="s">
        <v>389</v>
      </c>
      <c r="H63" s="57" t="s">
        <v>390</v>
      </c>
      <c r="I63" s="47" t="s">
        <v>391</v>
      </c>
      <c r="J63" s="26"/>
      <c r="K63" s="56"/>
      <c r="L63" s="48" t="str">
        <f>HYPERLINK("https://openknowledge.worldbank.org/bitstream/handle/10986/12706/703930ESW0P1030BGRSF0Guidelines0PDF.pdf?sequence=1","[119] Breen, J, K McMahon, E Robertson, E Salter, C Stephenson, and Pete Thomas. “Country Guidelines for the Conduct of Road Safety Management Capacity Reviews and the Specification of Lead Agency Reforms, Investment Strategies and Safe System Projects.” "&amp;"The World Bank Global Road Safety Facility, Washington DC, 2009.")</f>
        <v>[119] Breen, J, K McMahon, E Robertson, E Salter, C Stephenson, and Pete Thomas. “Country Guidelines for the Conduct of Road Safety Management Capacity Reviews and the Specification of Lead Agency Reforms, Investment Strategies and Safe System Projects.” The World Bank Global Road Safety Facility, Washington DC, 2009.</v>
      </c>
      <c r="M63" s="26"/>
      <c r="N63" s="48" t="str">
        <f>HYPERLINK("https://www.roadsbridges.com/reframing-plan","[120] “Reframing the Plan | Roads &amp; Bridges.” Accessed April 23, 2020. https://www.roadsbridges.com/reframing-plan.
")</f>
        <v xml:space="preserve">[120] “Reframing the Plan | Roads &amp; Bridges.” Accessed April 23, 2020. https://www.roadsbridges.com/reframing-plan.
</v>
      </c>
      <c r="O63" s="47" t="s">
        <v>392</v>
      </c>
      <c r="P63" s="48" t="s">
        <v>393</v>
      </c>
      <c r="Q63" s="26" t="s">
        <v>394</v>
      </c>
      <c r="R63" s="26"/>
      <c r="S63" s="26"/>
      <c r="T63" s="26"/>
      <c r="U63" s="26"/>
      <c r="V63" s="26"/>
      <c r="W63" s="26"/>
      <c r="X63" s="26"/>
      <c r="Y63" s="26"/>
      <c r="Z63" s="26"/>
      <c r="AA63" s="26"/>
      <c r="AB63" s="26"/>
      <c r="AC63" s="26"/>
      <c r="AD63" s="26"/>
      <c r="AE63" s="26"/>
      <c r="AF63" s="26"/>
      <c r="AG63" s="26"/>
      <c r="AH63" s="26"/>
    </row>
    <row r="64" spans="1:34" ht="15.75" customHeight="1">
      <c r="A64" s="37" t="s">
        <v>395</v>
      </c>
      <c r="B64" s="47" t="s">
        <v>396</v>
      </c>
      <c r="C64" s="47" t="s">
        <v>38</v>
      </c>
      <c r="D64" s="26" t="s">
        <v>397</v>
      </c>
      <c r="E64" s="47" t="s">
        <v>38</v>
      </c>
      <c r="F64" s="47" t="s">
        <v>27</v>
      </c>
      <c r="G64" s="26"/>
      <c r="H64" s="26"/>
      <c r="I64" s="26"/>
      <c r="J64" s="26"/>
      <c r="K64" s="56"/>
      <c r="L64" s="48" t="e">
        <f>HYPERLINK("https://books.google.com/books?hl=en&amp;lr=&amp;id=kTUg0nmf4BYC&amp;oi=fnd&amp;pg=PA1&amp;dq=Wilson,+E.+M.,+and+M.+E.+Lipinski.+NCHRP+Synthesis+of+Highway+Practice+336:+Road+Safety+Audits.+Transportation+Research+Board+of+the+National+Academies,+Washington,+D.C.,+2004.&amp;ots="&amp;"0SlvXuyS1W&amp;sig=YzmGZMjHRaGYh7v1IQjFOXHCxp8#v=onepage&amp;q&amp;f=false","[122] Wilson, Eugene Madison, and Martin E Lipinski. Road Safety Audits. Vol. 336. Transportation Research Board, 2004.")</f>
        <v>#VALUE!</v>
      </c>
      <c r="M64" s="26"/>
      <c r="N64" s="48" t="str">
        <f>HYPERLINK("http://citeseerx.ist.psu.edu/viewdoc/download?doi=10.1.1.541.2283&amp;rep=rep1&amp;type=pdf","[123] Breen, Jeanne, Eric Howard, and Tony Bliss. An Independent Review of Road Safety in Sweden. Citeseer, 2008.")</f>
        <v>[123] Breen, Jeanne, Eric Howard, and Tony Bliss. An Independent Review of Road Safety in Sweden. Citeseer, 2008.</v>
      </c>
      <c r="O64" s="26"/>
      <c r="P64" s="26"/>
      <c r="Q64" s="26"/>
      <c r="R64" s="26"/>
      <c r="S64" s="26"/>
      <c r="T64" s="26"/>
      <c r="U64" s="26"/>
      <c r="V64" s="26"/>
      <c r="W64" s="26"/>
      <c r="X64" s="26"/>
      <c r="Y64" s="26"/>
      <c r="Z64" s="26"/>
      <c r="AA64" s="26"/>
      <c r="AB64" s="26"/>
      <c r="AC64" s="26"/>
      <c r="AD64" s="26"/>
      <c r="AE64" s="26"/>
      <c r="AF64" s="26"/>
      <c r="AG64" s="26"/>
      <c r="AH64" s="26"/>
    </row>
    <row r="65" spans="1:34" ht="15.75" customHeight="1">
      <c r="A65" s="37" t="s">
        <v>398</v>
      </c>
      <c r="B65" s="47" t="s">
        <v>399</v>
      </c>
      <c r="C65" s="47" t="s">
        <v>38</v>
      </c>
      <c r="D65" s="26" t="s">
        <v>400</v>
      </c>
      <c r="E65" s="47" t="s">
        <v>38</v>
      </c>
      <c r="F65" s="47" t="s">
        <v>25</v>
      </c>
      <c r="G65" s="47" t="s">
        <v>25</v>
      </c>
      <c r="H65" s="26"/>
      <c r="I65" s="26"/>
      <c r="J65" s="26"/>
      <c r="K65" s="56"/>
      <c r="L65" s="48" t="str">
        <f>HYPERLINK("https://journals.sagepub.com/doi/full/10.1177/0162243913493675?casa_token=FubTuVRFjMYAAAAA%3Arkf9jQJj5aNMlJpSt0Ez1prX86wGMiaGUmBJZBlgi5cL-m1fZqzHdQi5s4c1IYgV1LRlvN9PyYl6JU4","McAndrews, Carolyn. “Road Safety as a Shared Responsibility and a Public Problem in Swedish Road Safety Policy.” Science, Technology, &amp; Human Values 38, no. 6 (November 1, 2013): 749–72. https://doi.org/10.1177/0162243913493675.")</f>
        <v>McAndrews, Carolyn. “Road Safety as a Shared Responsibility and a Public Problem in Swedish Road Safety Policy.” Science, Technology, &amp; Human Values 38, no. 6 (November 1, 2013): 749–72. https://doi.org/10.1177/0162243913493675.</v>
      </c>
      <c r="M65" s="26" t="s">
        <v>401</v>
      </c>
      <c r="N65" s="47"/>
      <c r="O65" s="26"/>
      <c r="P65" s="26"/>
      <c r="Q65" s="26"/>
      <c r="R65" s="26"/>
      <c r="S65" s="26"/>
      <c r="T65" s="26"/>
      <c r="U65" s="26"/>
      <c r="V65" s="26"/>
      <c r="W65" s="26"/>
      <c r="X65" s="26"/>
      <c r="Y65" s="26"/>
      <c r="Z65" s="26"/>
      <c r="AA65" s="26"/>
      <c r="AB65" s="26"/>
      <c r="AC65" s="26"/>
      <c r="AD65" s="26"/>
      <c r="AE65" s="26"/>
      <c r="AF65" s="26"/>
      <c r="AG65" s="26"/>
      <c r="AH65" s="26"/>
    </row>
    <row r="66" spans="1:34" ht="15.75" customHeight="1">
      <c r="A66" s="37" t="s">
        <v>402</v>
      </c>
      <c r="B66" s="47" t="s">
        <v>403</v>
      </c>
      <c r="C66" s="47" t="s">
        <v>38</v>
      </c>
      <c r="D66" s="26" t="s">
        <v>400</v>
      </c>
      <c r="E66" s="47" t="s">
        <v>38</v>
      </c>
      <c r="F66" s="47" t="s">
        <v>25</v>
      </c>
      <c r="G66" s="47" t="s">
        <v>404</v>
      </c>
      <c r="H66" s="57" t="s">
        <v>405</v>
      </c>
      <c r="I66" s="47" t="s">
        <v>406</v>
      </c>
      <c r="J66" s="26"/>
      <c r="K66" s="56"/>
      <c r="L66" s="47" t="s">
        <v>407</v>
      </c>
      <c r="M66" s="26" t="s">
        <v>408</v>
      </c>
      <c r="N66" s="48" t="str">
        <f>HYPERLINK("https://www.sciencedirect.com/science/article/pii/S2214579617303866","[126] Neilson, Alex, Indratmo, Ben Daniel, and Stevanus Tjandra. “Systematic Review of the Literature on Big Data in the Transportation Domain: Concepts and Applications.” Big Data Research 17 (September 1, 2019): 35–44. https://doi.org/10.1016/j.bdr.2019"&amp;".03.001.")</f>
        <v>[126] Neilson, Alex, Indratmo, Ben Daniel, and Stevanus Tjandra. “Systematic Review of the Literature on Big Data in the Transportation Domain: Concepts and Applications.” Big Data Research 17 (September 1, 2019): 35–44. https://doi.org/10.1016/j.bdr.2019.03.001.</v>
      </c>
      <c r="O66" s="47" t="s">
        <v>409</v>
      </c>
      <c r="P66" s="48" t="str">
        <f>HYPERLINK("https://www.ssti.us/wp/wp-content/uploads/2017/10/toward-vision-zero-ITE-Journal-article-March-2017.pdf","[127] Loewenherz, Franz, Victor Bahl, and Yinhai Wang. “Video Analytics towards Vision Zero.” Institute of Transportation Engineers. ITE Journal 87, no. 3 (2017): 25.")</f>
        <v>[127] Loewenherz, Franz, Victor Bahl, and Yinhai Wang. “Video Analytics towards Vision Zero.” Institute of Transportation Engineers. ITE Journal 87, no. 3 (2017): 25.</v>
      </c>
      <c r="Q66" s="47" t="s">
        <v>410</v>
      </c>
      <c r="R66" s="26"/>
      <c r="S66" s="26"/>
      <c r="T66" s="26"/>
      <c r="U66" s="26"/>
      <c r="V66" s="26"/>
      <c r="W66" s="26"/>
      <c r="X66" s="26"/>
      <c r="Y66" s="26"/>
      <c r="Z66" s="26"/>
      <c r="AA66" s="26"/>
      <c r="AB66" s="26"/>
      <c r="AC66" s="26"/>
      <c r="AD66" s="26"/>
      <c r="AE66" s="26"/>
      <c r="AF66" s="26"/>
      <c r="AG66" s="26"/>
      <c r="AH66" s="26"/>
    </row>
    <row r="67" spans="1:34" ht="15.75" customHeight="1">
      <c r="A67" s="37" t="s">
        <v>411</v>
      </c>
      <c r="B67" s="47" t="s">
        <v>412</v>
      </c>
      <c r="C67" s="47" t="s">
        <v>38</v>
      </c>
      <c r="D67" s="26" t="s">
        <v>400</v>
      </c>
      <c r="E67" s="47" t="s">
        <v>38</v>
      </c>
      <c r="F67" s="47" t="s">
        <v>25</v>
      </c>
      <c r="G67" s="58"/>
      <c r="H67" s="58"/>
      <c r="I67" s="47" t="s">
        <v>413</v>
      </c>
      <c r="J67" s="51"/>
      <c r="K67" s="52"/>
      <c r="L67" s="48" t="str">
        <f>HYPERLINK("https://visionzeronetwork.org/centering-community-in-the-public-engagement-process/","[128] “Centering Community in the Public Engagement Process.” Accessed April 23, 2020. https://visionzeronetwork.org/centering-community-in-the-public-engagement-process/.")</f>
        <v>[128] “Centering Community in the Public Engagement Process.” Accessed April 23, 2020. https://visionzeronetwork.org/centering-community-in-the-public-engagement-process/.</v>
      </c>
      <c r="M67" s="26" t="s">
        <v>414</v>
      </c>
      <c r="N67" s="48" t="str">
        <f>HYPERLINK("https://nam.edu/perspectives-2013-health-in-all-policies-improving-health-through-intersectoral-collaboration/","[129] Rudolph, Linda, Julia Caplan, Connie Mitchell, Karen Ben-Moshe, and Lianne Dillon. “Health in All Policies: Improving Health Through Intersectoral Collaboration.” NAM Perspectives, September 18, 2013. https://doi.org/10.31478/201309a.")</f>
        <v>[129] Rudolph, Linda, Julia Caplan, Connie Mitchell, Karen Ben-Moshe, and Lianne Dillon. “Health in All Policies: Improving Health Through Intersectoral Collaboration.” NAM Perspectives, September 18, 2013. https://doi.org/10.31478/201309a.</v>
      </c>
      <c r="O67" s="26" t="s">
        <v>415</v>
      </c>
      <c r="P67" s="53"/>
      <c r="Q67" s="26"/>
      <c r="R67" s="51"/>
      <c r="S67" s="51"/>
      <c r="T67" s="51"/>
      <c r="U67" s="51"/>
      <c r="V67" s="51"/>
      <c r="W67" s="51"/>
      <c r="X67" s="51"/>
      <c r="Y67" s="51"/>
      <c r="Z67" s="51"/>
      <c r="AA67" s="51"/>
      <c r="AB67" s="51"/>
      <c r="AC67" s="51"/>
      <c r="AD67" s="51"/>
      <c r="AE67" s="51"/>
      <c r="AF67" s="51"/>
      <c r="AG67" s="51"/>
      <c r="AH67" s="51"/>
    </row>
    <row r="68" spans="1:34" ht="15.75" outlineLevel="1">
      <c r="A68" s="37" t="s">
        <v>416</v>
      </c>
      <c r="B68" s="47" t="s">
        <v>417</v>
      </c>
      <c r="C68" s="47" t="s">
        <v>38</v>
      </c>
      <c r="D68" s="26" t="s">
        <v>400</v>
      </c>
      <c r="E68" s="47" t="s">
        <v>38</v>
      </c>
      <c r="F68" s="47" t="s">
        <v>25</v>
      </c>
      <c r="G68" s="26"/>
      <c r="H68" s="59" t="s">
        <v>418</v>
      </c>
      <c r="I68" s="59" t="s">
        <v>419</v>
      </c>
      <c r="J68" s="26"/>
      <c r="K68" s="56"/>
      <c r="L68" s="47" t="s">
        <v>420</v>
      </c>
      <c r="M68" s="26"/>
      <c r="N68" s="26"/>
      <c r="O68" s="26"/>
      <c r="P68" s="26"/>
      <c r="Q68" s="26"/>
      <c r="R68" s="26"/>
      <c r="S68" s="26"/>
      <c r="T68" s="26"/>
      <c r="U68" s="26"/>
      <c r="V68" s="26"/>
      <c r="W68" s="26"/>
      <c r="X68" s="26"/>
      <c r="Y68" s="26"/>
      <c r="Z68" s="26"/>
      <c r="AA68" s="26"/>
      <c r="AB68" s="26"/>
      <c r="AC68" s="26"/>
      <c r="AD68" s="26"/>
      <c r="AE68" s="26"/>
      <c r="AF68" s="26"/>
      <c r="AG68" s="26"/>
      <c r="AH68" s="26"/>
    </row>
    <row r="69" spans="1:34" ht="15.75" customHeight="1">
      <c r="A69" s="37" t="s">
        <v>421</v>
      </c>
      <c r="B69" s="47" t="s">
        <v>422</v>
      </c>
      <c r="C69" s="47" t="s">
        <v>38</v>
      </c>
      <c r="D69" s="26" t="s">
        <v>400</v>
      </c>
      <c r="E69" s="47" t="s">
        <v>38</v>
      </c>
      <c r="F69" s="47" t="s">
        <v>25</v>
      </c>
      <c r="G69" s="47" t="s">
        <v>423</v>
      </c>
      <c r="H69" s="47" t="s">
        <v>424</v>
      </c>
      <c r="I69" s="47" t="s">
        <v>425</v>
      </c>
      <c r="J69" s="26"/>
      <c r="K69" s="56"/>
      <c r="L69" s="48" t="str">
        <f>HYPERLINK("https://rosap.ntl.bts.gov/view/dot/41310","[131] Herbel, Susan, Lorrie Laing, and Colleen McGovern. “Highway Safety Improvement Program Manual: The Focus Is Results.” United States. Federal Highway Administration. Office of Safety, 2010.")</f>
        <v>[131] Herbel, Susan, Lorrie Laing, and Colleen McGovern. “Highway Safety Improvement Program Manual: The Focus Is Results.” United States. Federal Highway Administration. Office of Safety, 2010.</v>
      </c>
      <c r="M69" s="26"/>
      <c r="N69" s="26"/>
      <c r="O69" s="26"/>
      <c r="P69" s="26"/>
      <c r="Q69" s="26"/>
      <c r="R69" s="26"/>
      <c r="S69" s="26"/>
      <c r="T69" s="26"/>
      <c r="U69" s="26"/>
      <c r="V69" s="26"/>
      <c r="W69" s="26"/>
      <c r="X69" s="26"/>
      <c r="Y69" s="26"/>
      <c r="Z69" s="26"/>
      <c r="AA69" s="26"/>
      <c r="AB69" s="26"/>
      <c r="AC69" s="26"/>
      <c r="AD69" s="26"/>
      <c r="AE69" s="26"/>
      <c r="AF69" s="26"/>
      <c r="AG69" s="26"/>
      <c r="AH69" s="26"/>
    </row>
    <row r="70" spans="1:34" ht="15.75" customHeight="1">
      <c r="A70" s="26"/>
      <c r="B70" s="26"/>
      <c r="C70" s="26"/>
      <c r="D70" s="26"/>
      <c r="E70" s="26"/>
      <c r="F70" s="26"/>
      <c r="G70" s="26"/>
      <c r="H70" s="26"/>
      <c r="I70" s="26"/>
      <c r="J70" s="26"/>
      <c r="K70" s="56"/>
      <c r="L70" s="26"/>
      <c r="M70" s="26"/>
      <c r="N70" s="26"/>
      <c r="O70" s="26"/>
      <c r="P70" s="26"/>
      <c r="Q70" s="26"/>
      <c r="R70" s="26"/>
      <c r="S70" s="26"/>
      <c r="T70" s="26"/>
      <c r="U70" s="26"/>
      <c r="V70" s="26"/>
      <c r="W70" s="26"/>
      <c r="X70" s="26"/>
      <c r="Y70" s="26"/>
      <c r="Z70" s="26"/>
      <c r="AA70" s="26"/>
      <c r="AB70" s="26"/>
      <c r="AC70" s="26"/>
      <c r="AD70" s="26"/>
      <c r="AE70" s="26"/>
      <c r="AF70" s="26"/>
      <c r="AG70" s="26"/>
      <c r="AH70" s="26"/>
    </row>
    <row r="71" spans="1:34" ht="15.75" customHeight="1">
      <c r="A71" s="26"/>
      <c r="B71" s="26"/>
      <c r="C71" s="26"/>
      <c r="D71" s="26"/>
      <c r="E71" s="26"/>
      <c r="F71" s="26"/>
      <c r="G71" s="26"/>
      <c r="H71" s="26"/>
      <c r="I71" s="26"/>
      <c r="J71" s="26"/>
      <c r="K71" s="56"/>
      <c r="L71" s="26"/>
      <c r="M71" s="26"/>
      <c r="N71" s="26"/>
      <c r="O71" s="26"/>
      <c r="P71" s="26"/>
      <c r="Q71" s="26"/>
      <c r="R71" s="26"/>
      <c r="S71" s="26"/>
      <c r="T71" s="26"/>
      <c r="U71" s="26"/>
      <c r="V71" s="26"/>
      <c r="W71" s="26"/>
      <c r="X71" s="26"/>
      <c r="Y71" s="26"/>
      <c r="Z71" s="26"/>
      <c r="AA71" s="26"/>
      <c r="AB71" s="26"/>
      <c r="AC71" s="26"/>
      <c r="AD71" s="26"/>
      <c r="AE71" s="26"/>
      <c r="AF71" s="26"/>
      <c r="AG71" s="26"/>
      <c r="AH71" s="26"/>
    </row>
    <row r="72" spans="1:34" ht="15.75" customHeight="1">
      <c r="A72" s="26"/>
      <c r="B72" s="26"/>
      <c r="C72" s="26"/>
      <c r="D72" s="26"/>
      <c r="E72" s="26"/>
      <c r="F72" s="26"/>
      <c r="G72" s="26"/>
      <c r="H72" s="26"/>
      <c r="I72" s="26"/>
      <c r="J72" s="26"/>
      <c r="K72" s="56"/>
      <c r="L72" s="26"/>
      <c r="M72" s="26"/>
      <c r="N72" s="26"/>
      <c r="O72" s="26"/>
      <c r="P72" s="26"/>
      <c r="Q72" s="26"/>
      <c r="R72" s="26"/>
      <c r="S72" s="26"/>
      <c r="T72" s="26"/>
      <c r="U72" s="26"/>
      <c r="V72" s="26"/>
      <c r="W72" s="26"/>
      <c r="X72" s="26"/>
      <c r="Y72" s="26"/>
      <c r="Z72" s="26"/>
      <c r="AA72" s="26"/>
      <c r="AB72" s="26"/>
      <c r="AC72" s="26"/>
      <c r="AD72" s="26"/>
      <c r="AE72" s="26"/>
      <c r="AF72" s="26"/>
      <c r="AG72" s="26"/>
      <c r="AH72" s="26"/>
    </row>
    <row r="73" spans="1:34" ht="15.75" customHeight="1">
      <c r="A73" s="26"/>
      <c r="B73" s="26"/>
      <c r="C73" s="26"/>
      <c r="D73" s="26"/>
      <c r="E73" s="26"/>
      <c r="F73" s="26"/>
      <c r="G73" s="26"/>
      <c r="H73" s="26"/>
      <c r="I73" s="26"/>
      <c r="J73" s="26"/>
      <c r="K73" s="56"/>
      <c r="L73" s="26"/>
      <c r="M73" s="26"/>
      <c r="N73" s="26"/>
      <c r="O73" s="26"/>
      <c r="P73" s="26"/>
      <c r="Q73" s="26"/>
      <c r="R73" s="26"/>
      <c r="S73" s="26"/>
      <c r="T73" s="26"/>
      <c r="U73" s="26"/>
      <c r="V73" s="26"/>
      <c r="W73" s="26"/>
      <c r="X73" s="26"/>
      <c r="Y73" s="26"/>
      <c r="Z73" s="26"/>
      <c r="AA73" s="26"/>
      <c r="AB73" s="26"/>
      <c r="AC73" s="26"/>
      <c r="AD73" s="26"/>
      <c r="AE73" s="26"/>
      <c r="AF73" s="26"/>
      <c r="AG73" s="26"/>
      <c r="AH73" s="26"/>
    </row>
    <row r="74" spans="1:34" ht="15.75" customHeight="1">
      <c r="A74" s="26"/>
      <c r="B74" s="26"/>
      <c r="C74" s="26"/>
      <c r="D74" s="26"/>
      <c r="E74" s="26"/>
      <c r="F74" s="26"/>
      <c r="G74" s="26"/>
      <c r="H74" s="26"/>
      <c r="I74" s="26"/>
      <c r="J74" s="26"/>
      <c r="K74" s="56"/>
      <c r="L74" s="26"/>
      <c r="M74" s="26"/>
      <c r="N74" s="26"/>
      <c r="O74" s="26"/>
      <c r="P74" s="26"/>
      <c r="Q74" s="26"/>
      <c r="R74" s="26"/>
      <c r="S74" s="26"/>
      <c r="T74" s="26"/>
      <c r="U74" s="26"/>
      <c r="V74" s="26"/>
      <c r="W74" s="26"/>
      <c r="X74" s="26"/>
      <c r="Y74" s="26"/>
      <c r="Z74" s="26"/>
      <c r="AA74" s="26"/>
      <c r="AB74" s="26"/>
      <c r="AC74" s="26"/>
      <c r="AD74" s="26"/>
      <c r="AE74" s="26"/>
      <c r="AF74" s="26"/>
      <c r="AG74" s="26"/>
      <c r="AH74" s="26"/>
    </row>
    <row r="75" spans="1:34" ht="15.75" customHeight="1">
      <c r="A75" s="26"/>
      <c r="B75" s="26"/>
      <c r="C75" s="26"/>
      <c r="D75" s="26"/>
      <c r="E75" s="26"/>
      <c r="F75" s="26"/>
      <c r="G75" s="26"/>
      <c r="H75" s="26"/>
      <c r="I75" s="26"/>
      <c r="J75" s="26"/>
      <c r="K75" s="56"/>
      <c r="L75" s="26"/>
      <c r="M75" s="26"/>
      <c r="N75" s="26"/>
      <c r="O75" s="26"/>
      <c r="P75" s="26"/>
      <c r="Q75" s="26"/>
      <c r="R75" s="26"/>
      <c r="S75" s="26"/>
      <c r="T75" s="26"/>
      <c r="U75" s="26"/>
      <c r="V75" s="26"/>
      <c r="W75" s="26"/>
      <c r="X75" s="26"/>
      <c r="Y75" s="26"/>
      <c r="Z75" s="26"/>
      <c r="AA75" s="26"/>
      <c r="AB75" s="26"/>
      <c r="AC75" s="26"/>
      <c r="AD75" s="26"/>
      <c r="AE75" s="26"/>
      <c r="AF75" s="26"/>
      <c r="AG75" s="26"/>
      <c r="AH75" s="26"/>
    </row>
    <row r="76" spans="1:34" ht="15.75" customHeight="1">
      <c r="A76" s="26"/>
      <c r="B76" s="26"/>
      <c r="C76" s="26"/>
      <c r="D76" s="26"/>
      <c r="E76" s="26"/>
      <c r="F76" s="26"/>
      <c r="G76" s="26"/>
      <c r="H76" s="26"/>
      <c r="I76" s="26"/>
      <c r="J76" s="26"/>
      <c r="K76" s="56"/>
      <c r="L76" s="26"/>
      <c r="M76" s="26"/>
      <c r="N76" s="26"/>
      <c r="O76" s="26"/>
      <c r="P76" s="26"/>
      <c r="Q76" s="26"/>
      <c r="R76" s="26"/>
      <c r="S76" s="26"/>
      <c r="T76" s="26"/>
      <c r="U76" s="26"/>
      <c r="V76" s="26"/>
      <c r="W76" s="26"/>
      <c r="X76" s="26"/>
      <c r="Y76" s="26"/>
      <c r="Z76" s="26"/>
      <c r="AA76" s="26"/>
      <c r="AB76" s="26"/>
      <c r="AC76" s="26"/>
      <c r="AD76" s="26"/>
      <c r="AE76" s="26"/>
      <c r="AF76" s="26"/>
      <c r="AG76" s="26"/>
      <c r="AH76" s="26"/>
    </row>
    <row r="77" spans="1:34" ht="15.75" customHeight="1">
      <c r="A77" s="26"/>
      <c r="B77" s="26"/>
      <c r="C77" s="26"/>
      <c r="D77" s="26"/>
      <c r="E77" s="26"/>
      <c r="F77" s="26"/>
      <c r="G77" s="26"/>
      <c r="H77" s="26"/>
      <c r="I77" s="26"/>
      <c r="J77" s="26"/>
      <c r="K77" s="56"/>
      <c r="L77" s="26"/>
      <c r="M77" s="26"/>
      <c r="N77" s="26"/>
      <c r="O77" s="26"/>
      <c r="P77" s="26"/>
      <c r="Q77" s="26"/>
      <c r="R77" s="26"/>
      <c r="S77" s="26"/>
      <c r="T77" s="26"/>
      <c r="U77" s="26"/>
      <c r="V77" s="26"/>
      <c r="W77" s="26"/>
      <c r="X77" s="26"/>
      <c r="Y77" s="26"/>
      <c r="Z77" s="26"/>
      <c r="AA77" s="26"/>
      <c r="AB77" s="26"/>
      <c r="AC77" s="26"/>
      <c r="AD77" s="26"/>
      <c r="AE77" s="26"/>
      <c r="AF77" s="26"/>
      <c r="AG77" s="26"/>
      <c r="AH77" s="26"/>
    </row>
    <row r="78" spans="1:34" ht="15.75" customHeight="1">
      <c r="A78" s="26"/>
      <c r="B78" s="26"/>
      <c r="C78" s="26"/>
      <c r="D78" s="26"/>
      <c r="E78" s="26"/>
      <c r="F78" s="26"/>
      <c r="G78" s="26"/>
      <c r="H78" s="26"/>
      <c r="I78" s="26"/>
      <c r="J78" s="26"/>
      <c r="K78" s="56"/>
      <c r="L78" s="26"/>
      <c r="M78" s="26"/>
      <c r="N78" s="26"/>
      <c r="O78" s="26"/>
      <c r="P78" s="26"/>
      <c r="Q78" s="26"/>
      <c r="R78" s="26"/>
      <c r="S78" s="26"/>
      <c r="T78" s="26"/>
      <c r="U78" s="26"/>
      <c r="V78" s="26"/>
      <c r="W78" s="26"/>
      <c r="X78" s="26"/>
      <c r="Y78" s="26"/>
      <c r="Z78" s="26"/>
      <c r="AA78" s="26"/>
      <c r="AB78" s="26"/>
      <c r="AC78" s="26"/>
      <c r="AD78" s="26"/>
      <c r="AE78" s="26"/>
      <c r="AF78" s="26"/>
      <c r="AG78" s="26"/>
      <c r="AH78" s="26"/>
    </row>
    <row r="79" spans="1:34" ht="15.75" customHeight="1">
      <c r="A79" s="26"/>
      <c r="B79" s="26"/>
      <c r="C79" s="26"/>
      <c r="D79" s="26"/>
      <c r="E79" s="26"/>
      <c r="F79" s="26"/>
      <c r="G79" s="26"/>
      <c r="H79" s="26"/>
      <c r="I79" s="26"/>
      <c r="J79" s="26"/>
      <c r="K79" s="56"/>
      <c r="L79" s="26"/>
      <c r="M79" s="26"/>
      <c r="N79" s="26"/>
      <c r="O79" s="26"/>
      <c r="P79" s="26"/>
      <c r="Q79" s="26"/>
      <c r="R79" s="26"/>
      <c r="S79" s="26"/>
      <c r="T79" s="26"/>
      <c r="U79" s="26"/>
      <c r="V79" s="26"/>
      <c r="W79" s="26"/>
      <c r="X79" s="26"/>
      <c r="Y79" s="26"/>
      <c r="Z79" s="26"/>
      <c r="AA79" s="26"/>
      <c r="AB79" s="26"/>
      <c r="AC79" s="26"/>
      <c r="AD79" s="26"/>
      <c r="AE79" s="26"/>
      <c r="AF79" s="26"/>
      <c r="AG79" s="26"/>
      <c r="AH79" s="26"/>
    </row>
    <row r="80" spans="1:34" ht="15.75" customHeight="1">
      <c r="A80" s="26"/>
      <c r="B80" s="26"/>
      <c r="C80" s="26"/>
      <c r="D80" s="26"/>
      <c r="E80" s="26"/>
      <c r="F80" s="26"/>
      <c r="G80" s="26"/>
      <c r="H80" s="26"/>
      <c r="I80" s="26"/>
      <c r="J80" s="26"/>
      <c r="K80" s="56"/>
      <c r="L80" s="26"/>
      <c r="M80" s="26"/>
      <c r="N80" s="26"/>
      <c r="O80" s="26"/>
      <c r="P80" s="26"/>
      <c r="Q80" s="26"/>
      <c r="R80" s="26"/>
      <c r="S80" s="26"/>
      <c r="T80" s="26"/>
      <c r="U80" s="26"/>
      <c r="V80" s="26"/>
      <c r="W80" s="26"/>
      <c r="X80" s="26"/>
      <c r="Y80" s="26"/>
      <c r="Z80" s="26"/>
      <c r="AA80" s="26"/>
      <c r="AB80" s="26"/>
      <c r="AC80" s="26"/>
      <c r="AD80" s="26"/>
      <c r="AE80" s="26"/>
      <c r="AF80" s="26"/>
      <c r="AG80" s="26"/>
      <c r="AH80" s="26"/>
    </row>
    <row r="81" spans="1:34" ht="15.75" customHeight="1">
      <c r="A81" s="26"/>
      <c r="B81" s="26"/>
      <c r="C81" s="26"/>
      <c r="D81" s="26"/>
      <c r="E81" s="26"/>
      <c r="F81" s="26"/>
      <c r="G81" s="26"/>
      <c r="H81" s="26"/>
      <c r="I81" s="26"/>
      <c r="J81" s="26"/>
      <c r="K81" s="56"/>
      <c r="L81" s="26"/>
      <c r="M81" s="26"/>
      <c r="N81" s="26"/>
      <c r="O81" s="26"/>
      <c r="P81" s="26"/>
      <c r="Q81" s="26"/>
      <c r="R81" s="26"/>
      <c r="S81" s="26"/>
      <c r="T81" s="26"/>
      <c r="U81" s="26"/>
      <c r="V81" s="26"/>
      <c r="W81" s="26"/>
      <c r="X81" s="26"/>
      <c r="Y81" s="26"/>
      <c r="Z81" s="26"/>
      <c r="AA81" s="26"/>
      <c r="AB81" s="26"/>
      <c r="AC81" s="26"/>
      <c r="AD81" s="26"/>
      <c r="AE81" s="26"/>
      <c r="AF81" s="26"/>
      <c r="AG81" s="26"/>
      <c r="AH81" s="26"/>
    </row>
    <row r="82" spans="1:34" ht="15.75" customHeight="1">
      <c r="A82" s="26"/>
      <c r="B82" s="26"/>
      <c r="C82" s="26"/>
      <c r="D82" s="26"/>
      <c r="E82" s="26"/>
      <c r="F82" s="26"/>
      <c r="G82" s="26"/>
      <c r="H82" s="26"/>
      <c r="I82" s="26"/>
      <c r="J82" s="26"/>
      <c r="K82" s="56"/>
      <c r="L82" s="26"/>
      <c r="M82" s="26"/>
      <c r="N82" s="26"/>
      <c r="O82" s="26"/>
      <c r="P82" s="26"/>
      <c r="Q82" s="26"/>
      <c r="R82" s="26"/>
      <c r="S82" s="26"/>
      <c r="T82" s="26"/>
      <c r="U82" s="26"/>
      <c r="V82" s="26"/>
      <c r="W82" s="26"/>
      <c r="X82" s="26"/>
      <c r="Y82" s="26"/>
      <c r="Z82" s="26"/>
      <c r="AA82" s="26"/>
      <c r="AB82" s="26"/>
      <c r="AC82" s="26"/>
      <c r="AD82" s="26"/>
      <c r="AE82" s="26"/>
      <c r="AF82" s="26"/>
      <c r="AG82" s="26"/>
      <c r="AH82" s="26"/>
    </row>
    <row r="83" spans="1:34" ht="15.75" customHeight="1">
      <c r="A83" s="26"/>
      <c r="B83" s="26"/>
      <c r="C83" s="26"/>
      <c r="D83" s="26"/>
      <c r="E83" s="26"/>
      <c r="F83" s="26"/>
      <c r="G83" s="26"/>
      <c r="H83" s="26"/>
      <c r="I83" s="26"/>
      <c r="J83" s="26"/>
      <c r="K83" s="56"/>
      <c r="L83" s="26"/>
      <c r="M83" s="26"/>
      <c r="N83" s="26"/>
      <c r="O83" s="26"/>
      <c r="P83" s="26"/>
      <c r="Q83" s="26"/>
      <c r="R83" s="26"/>
      <c r="S83" s="26"/>
      <c r="T83" s="26"/>
      <c r="U83" s="26"/>
      <c r="V83" s="26"/>
      <c r="W83" s="26"/>
      <c r="X83" s="26"/>
      <c r="Y83" s="26"/>
      <c r="Z83" s="26"/>
      <c r="AA83" s="26"/>
      <c r="AB83" s="26"/>
      <c r="AC83" s="26"/>
      <c r="AD83" s="26"/>
      <c r="AE83" s="26"/>
      <c r="AF83" s="26"/>
      <c r="AG83" s="26"/>
      <c r="AH83" s="26"/>
    </row>
    <row r="84" spans="1:34" ht="15.75" customHeight="1">
      <c r="A84" s="26"/>
      <c r="B84" s="26"/>
      <c r="C84" s="26"/>
      <c r="D84" s="26"/>
      <c r="E84" s="26"/>
      <c r="F84" s="26"/>
      <c r="G84" s="26"/>
      <c r="H84" s="26"/>
      <c r="I84" s="26"/>
      <c r="J84" s="26"/>
      <c r="K84" s="56"/>
      <c r="L84" s="26"/>
      <c r="M84" s="26"/>
      <c r="N84" s="26"/>
      <c r="O84" s="26"/>
      <c r="P84" s="26"/>
      <c r="Q84" s="26"/>
      <c r="R84" s="26"/>
      <c r="S84" s="26"/>
      <c r="T84" s="26"/>
      <c r="U84" s="26"/>
      <c r="V84" s="26"/>
      <c r="W84" s="26"/>
      <c r="X84" s="26"/>
      <c r="Y84" s="26"/>
      <c r="Z84" s="26"/>
      <c r="AA84" s="26"/>
      <c r="AB84" s="26"/>
      <c r="AC84" s="26"/>
      <c r="AD84" s="26"/>
      <c r="AE84" s="26"/>
      <c r="AF84" s="26"/>
      <c r="AG84" s="26"/>
      <c r="AH84" s="26"/>
    </row>
    <row r="85" spans="1:34" ht="15.75" customHeight="1">
      <c r="A85" s="26"/>
      <c r="B85" s="26"/>
      <c r="C85" s="26"/>
      <c r="D85" s="26"/>
      <c r="E85" s="26"/>
      <c r="F85" s="26"/>
      <c r="G85" s="26"/>
      <c r="H85" s="26"/>
      <c r="I85" s="26"/>
      <c r="J85" s="26"/>
      <c r="K85" s="56"/>
      <c r="L85" s="26"/>
      <c r="M85" s="26"/>
      <c r="N85" s="26"/>
      <c r="O85" s="26"/>
      <c r="P85" s="26"/>
      <c r="Q85" s="26"/>
      <c r="R85" s="26"/>
      <c r="S85" s="26"/>
      <c r="T85" s="26"/>
      <c r="U85" s="26"/>
      <c r="V85" s="26"/>
      <c r="W85" s="26"/>
      <c r="X85" s="26"/>
      <c r="Y85" s="26"/>
      <c r="Z85" s="26"/>
      <c r="AA85" s="26"/>
      <c r="AB85" s="26"/>
      <c r="AC85" s="26"/>
      <c r="AD85" s="26"/>
      <c r="AE85" s="26"/>
      <c r="AF85" s="26"/>
      <c r="AG85" s="26"/>
      <c r="AH85" s="26"/>
    </row>
    <row r="86" spans="1:34" ht="15.75" customHeight="1">
      <c r="A86" s="26"/>
      <c r="B86" s="26"/>
      <c r="C86" s="26"/>
      <c r="D86" s="26"/>
      <c r="E86" s="26"/>
      <c r="F86" s="26"/>
      <c r="G86" s="26"/>
      <c r="H86" s="26"/>
      <c r="I86" s="26"/>
      <c r="J86" s="26"/>
      <c r="K86" s="56"/>
      <c r="L86" s="26"/>
      <c r="M86" s="26"/>
      <c r="N86" s="26"/>
      <c r="O86" s="26"/>
      <c r="P86" s="26"/>
      <c r="Q86" s="26"/>
      <c r="R86" s="26"/>
      <c r="S86" s="26"/>
      <c r="T86" s="26"/>
      <c r="U86" s="26"/>
      <c r="V86" s="26"/>
      <c r="W86" s="26"/>
      <c r="X86" s="26"/>
      <c r="Y86" s="26"/>
      <c r="Z86" s="26"/>
      <c r="AA86" s="26"/>
      <c r="AB86" s="26"/>
      <c r="AC86" s="26"/>
      <c r="AD86" s="26"/>
      <c r="AE86" s="26"/>
      <c r="AF86" s="26"/>
      <c r="AG86" s="26"/>
      <c r="AH86" s="26"/>
    </row>
    <row r="87" spans="1:34" ht="15.75" customHeight="1">
      <c r="A87" s="26"/>
      <c r="B87" s="26"/>
      <c r="C87" s="26"/>
      <c r="D87" s="26"/>
      <c r="E87" s="26"/>
      <c r="F87" s="26"/>
      <c r="G87" s="26"/>
      <c r="H87" s="26"/>
      <c r="I87" s="26"/>
      <c r="J87" s="26"/>
      <c r="K87" s="56"/>
      <c r="L87" s="26"/>
      <c r="M87" s="26"/>
      <c r="N87" s="26"/>
      <c r="O87" s="26"/>
      <c r="P87" s="26"/>
      <c r="Q87" s="26"/>
      <c r="R87" s="26"/>
      <c r="S87" s="26"/>
      <c r="T87" s="26"/>
      <c r="U87" s="26"/>
      <c r="V87" s="26"/>
      <c r="W87" s="26"/>
      <c r="X87" s="26"/>
      <c r="Y87" s="26"/>
      <c r="Z87" s="26"/>
      <c r="AA87" s="26"/>
      <c r="AB87" s="26"/>
      <c r="AC87" s="26"/>
      <c r="AD87" s="26"/>
      <c r="AE87" s="26"/>
      <c r="AF87" s="26"/>
      <c r="AG87" s="26"/>
      <c r="AH87" s="26"/>
    </row>
    <row r="88" spans="1:34" ht="15.75" customHeight="1">
      <c r="A88" s="26"/>
      <c r="B88" s="26"/>
      <c r="C88" s="26"/>
      <c r="D88" s="26"/>
      <c r="E88" s="26"/>
      <c r="F88" s="26"/>
      <c r="G88" s="26"/>
      <c r="H88" s="26"/>
      <c r="I88" s="26"/>
      <c r="J88" s="26"/>
      <c r="K88" s="56"/>
      <c r="L88" s="26"/>
      <c r="M88" s="26"/>
      <c r="N88" s="26"/>
      <c r="O88" s="26"/>
      <c r="P88" s="26"/>
      <c r="Q88" s="26"/>
      <c r="R88" s="26"/>
      <c r="S88" s="26"/>
      <c r="T88" s="26"/>
      <c r="U88" s="26"/>
      <c r="V88" s="26"/>
      <c r="W88" s="26"/>
      <c r="X88" s="26"/>
      <c r="Y88" s="26"/>
      <c r="Z88" s="26"/>
      <c r="AA88" s="26"/>
      <c r="AB88" s="26"/>
      <c r="AC88" s="26"/>
      <c r="AD88" s="26"/>
      <c r="AE88" s="26"/>
      <c r="AF88" s="26"/>
      <c r="AG88" s="26"/>
      <c r="AH88" s="26"/>
    </row>
    <row r="89" spans="1:34" ht="15.75" customHeight="1">
      <c r="A89" s="26"/>
      <c r="B89" s="26"/>
      <c r="C89" s="26"/>
      <c r="D89" s="26"/>
      <c r="E89" s="26"/>
      <c r="F89" s="26"/>
      <c r="G89" s="26"/>
      <c r="H89" s="26"/>
      <c r="I89" s="26"/>
      <c r="J89" s="26"/>
      <c r="K89" s="56"/>
      <c r="L89" s="26"/>
      <c r="M89" s="26"/>
      <c r="N89" s="26"/>
      <c r="O89" s="26"/>
      <c r="P89" s="26"/>
      <c r="Q89" s="26"/>
      <c r="R89" s="26"/>
      <c r="S89" s="26"/>
      <c r="T89" s="26"/>
      <c r="U89" s="26"/>
      <c r="V89" s="26"/>
      <c r="W89" s="26"/>
      <c r="X89" s="26"/>
      <c r="Y89" s="26"/>
      <c r="Z89" s="26"/>
      <c r="AA89" s="26"/>
      <c r="AB89" s="26"/>
      <c r="AC89" s="26"/>
      <c r="AD89" s="26"/>
      <c r="AE89" s="26"/>
      <c r="AF89" s="26"/>
      <c r="AG89" s="26"/>
      <c r="AH89" s="26"/>
    </row>
    <row r="90" spans="1:34" ht="15.75" customHeight="1">
      <c r="A90" s="26"/>
      <c r="B90" s="26"/>
      <c r="C90" s="26"/>
      <c r="D90" s="26"/>
      <c r="E90" s="26"/>
      <c r="F90" s="26"/>
      <c r="G90" s="26"/>
      <c r="H90" s="26"/>
      <c r="I90" s="26"/>
      <c r="J90" s="26"/>
      <c r="K90" s="56"/>
      <c r="L90" s="26"/>
      <c r="M90" s="26"/>
      <c r="N90" s="26"/>
      <c r="O90" s="26"/>
      <c r="P90" s="26"/>
      <c r="Q90" s="26"/>
      <c r="R90" s="26"/>
      <c r="S90" s="26"/>
      <c r="T90" s="26"/>
      <c r="U90" s="26"/>
      <c r="V90" s="26"/>
      <c r="W90" s="26"/>
      <c r="X90" s="26"/>
      <c r="Y90" s="26"/>
      <c r="Z90" s="26"/>
      <c r="AA90" s="26"/>
      <c r="AB90" s="26"/>
      <c r="AC90" s="26"/>
      <c r="AD90" s="26"/>
      <c r="AE90" s="26"/>
      <c r="AF90" s="26"/>
      <c r="AG90" s="26"/>
      <c r="AH90" s="26"/>
    </row>
    <row r="91" spans="1:34" ht="15.75" customHeight="1">
      <c r="A91" s="26"/>
      <c r="B91" s="26"/>
      <c r="C91" s="26"/>
      <c r="D91" s="26"/>
      <c r="E91" s="26"/>
      <c r="F91" s="26"/>
      <c r="G91" s="26"/>
      <c r="H91" s="26"/>
      <c r="I91" s="26"/>
      <c r="J91" s="26"/>
      <c r="K91" s="56"/>
      <c r="L91" s="26"/>
      <c r="M91" s="26"/>
      <c r="N91" s="26"/>
      <c r="O91" s="26"/>
      <c r="P91" s="26"/>
      <c r="Q91" s="26"/>
      <c r="R91" s="26"/>
      <c r="S91" s="26"/>
      <c r="T91" s="26"/>
      <c r="U91" s="26"/>
      <c r="V91" s="26"/>
      <c r="W91" s="26"/>
      <c r="X91" s="26"/>
      <c r="Y91" s="26"/>
      <c r="Z91" s="26"/>
      <c r="AA91" s="26"/>
      <c r="AB91" s="26"/>
      <c r="AC91" s="26"/>
      <c r="AD91" s="26"/>
      <c r="AE91" s="26"/>
      <c r="AF91" s="26"/>
      <c r="AG91" s="26"/>
      <c r="AH91" s="26"/>
    </row>
    <row r="92" spans="1:34" ht="15.75" customHeight="1">
      <c r="A92" s="26"/>
      <c r="B92" s="26"/>
      <c r="C92" s="26"/>
      <c r="D92" s="26"/>
      <c r="E92" s="26"/>
      <c r="F92" s="26"/>
      <c r="G92" s="26"/>
      <c r="H92" s="26"/>
      <c r="I92" s="26"/>
      <c r="J92" s="26"/>
      <c r="K92" s="56"/>
      <c r="L92" s="26"/>
      <c r="M92" s="26"/>
      <c r="N92" s="26"/>
      <c r="O92" s="26"/>
      <c r="P92" s="26"/>
      <c r="Q92" s="26"/>
      <c r="R92" s="26"/>
      <c r="S92" s="26"/>
      <c r="T92" s="26"/>
      <c r="U92" s="26"/>
      <c r="V92" s="26"/>
      <c r="W92" s="26"/>
      <c r="X92" s="26"/>
      <c r="Y92" s="26"/>
      <c r="Z92" s="26"/>
      <c r="AA92" s="26"/>
      <c r="AB92" s="26"/>
      <c r="AC92" s="26"/>
      <c r="AD92" s="26"/>
      <c r="AE92" s="26"/>
      <c r="AF92" s="26"/>
      <c r="AG92" s="26"/>
      <c r="AH92" s="26"/>
    </row>
    <row r="93" spans="1:34" ht="15.75" customHeight="1">
      <c r="A93" s="26"/>
      <c r="B93" s="26"/>
      <c r="C93" s="26"/>
      <c r="D93" s="26"/>
      <c r="E93" s="26"/>
      <c r="F93" s="26"/>
      <c r="G93" s="26"/>
      <c r="H93" s="26"/>
      <c r="I93" s="26"/>
      <c r="J93" s="26"/>
      <c r="K93" s="56"/>
      <c r="L93" s="26"/>
      <c r="M93" s="26"/>
      <c r="N93" s="26"/>
      <c r="O93" s="26"/>
      <c r="P93" s="26"/>
      <c r="Q93" s="26"/>
      <c r="R93" s="26"/>
      <c r="S93" s="26"/>
      <c r="T93" s="26"/>
      <c r="U93" s="26"/>
      <c r="V93" s="26"/>
      <c r="W93" s="26"/>
      <c r="X93" s="26"/>
      <c r="Y93" s="26"/>
      <c r="Z93" s="26"/>
      <c r="AA93" s="26"/>
      <c r="AB93" s="26"/>
      <c r="AC93" s="26"/>
      <c r="AD93" s="26"/>
      <c r="AE93" s="26"/>
      <c r="AF93" s="26"/>
      <c r="AG93" s="26"/>
      <c r="AH93" s="26"/>
    </row>
    <row r="94" spans="1:34" ht="15.75" customHeight="1">
      <c r="A94" s="26"/>
      <c r="B94" s="26"/>
      <c r="C94" s="26"/>
      <c r="D94" s="26"/>
      <c r="E94" s="26"/>
      <c r="F94" s="26"/>
      <c r="G94" s="26"/>
      <c r="H94" s="26"/>
      <c r="I94" s="26"/>
      <c r="J94" s="26"/>
      <c r="K94" s="56"/>
      <c r="L94" s="26"/>
      <c r="M94" s="26"/>
      <c r="N94" s="26"/>
      <c r="O94" s="26"/>
      <c r="P94" s="26"/>
      <c r="Q94" s="26"/>
      <c r="R94" s="26"/>
      <c r="S94" s="26"/>
      <c r="T94" s="26"/>
      <c r="U94" s="26"/>
      <c r="V94" s="26"/>
      <c r="W94" s="26"/>
      <c r="X94" s="26"/>
      <c r="Y94" s="26"/>
      <c r="Z94" s="26"/>
      <c r="AA94" s="26"/>
      <c r="AB94" s="26"/>
      <c r="AC94" s="26"/>
      <c r="AD94" s="26"/>
      <c r="AE94" s="26"/>
      <c r="AF94" s="26"/>
      <c r="AG94" s="26"/>
      <c r="AH94" s="26"/>
    </row>
    <row r="95" spans="1:34" ht="15.75" customHeight="1">
      <c r="A95" s="26"/>
      <c r="B95" s="26"/>
      <c r="C95" s="26"/>
      <c r="D95" s="26"/>
      <c r="E95" s="26"/>
      <c r="F95" s="26"/>
      <c r="G95" s="26"/>
      <c r="H95" s="26"/>
      <c r="I95" s="26"/>
      <c r="J95" s="26"/>
      <c r="K95" s="56"/>
      <c r="L95" s="26"/>
      <c r="M95" s="26"/>
      <c r="N95" s="26"/>
      <c r="O95" s="26"/>
      <c r="P95" s="26"/>
      <c r="Q95" s="26"/>
      <c r="R95" s="26"/>
      <c r="S95" s="26"/>
      <c r="T95" s="26"/>
      <c r="U95" s="26"/>
      <c r="V95" s="26"/>
      <c r="W95" s="26"/>
      <c r="X95" s="26"/>
      <c r="Y95" s="26"/>
      <c r="Z95" s="26"/>
      <c r="AA95" s="26"/>
      <c r="AB95" s="26"/>
      <c r="AC95" s="26"/>
      <c r="AD95" s="26"/>
      <c r="AE95" s="26"/>
      <c r="AF95" s="26"/>
      <c r="AG95" s="26"/>
      <c r="AH95" s="26"/>
    </row>
    <row r="96" spans="1:34" ht="15.75" customHeight="1">
      <c r="A96" s="26"/>
      <c r="B96" s="26"/>
      <c r="C96" s="26"/>
      <c r="D96" s="26"/>
      <c r="E96" s="26"/>
      <c r="F96" s="26"/>
      <c r="G96" s="26"/>
      <c r="H96" s="26"/>
      <c r="I96" s="26"/>
      <c r="J96" s="26"/>
      <c r="K96" s="56"/>
      <c r="L96" s="26"/>
      <c r="M96" s="26"/>
      <c r="N96" s="26"/>
      <c r="O96" s="26"/>
      <c r="P96" s="26"/>
      <c r="Q96" s="26"/>
      <c r="R96" s="26"/>
      <c r="S96" s="26"/>
      <c r="T96" s="26"/>
      <c r="U96" s="26"/>
      <c r="V96" s="26"/>
      <c r="W96" s="26"/>
      <c r="X96" s="26"/>
      <c r="Y96" s="26"/>
      <c r="Z96" s="26"/>
      <c r="AA96" s="26"/>
      <c r="AB96" s="26"/>
      <c r="AC96" s="26"/>
      <c r="AD96" s="26"/>
      <c r="AE96" s="26"/>
      <c r="AF96" s="26"/>
      <c r="AG96" s="26"/>
      <c r="AH96" s="26"/>
    </row>
    <row r="97" spans="1:34" ht="15.75" customHeight="1">
      <c r="A97" s="26"/>
      <c r="B97" s="26"/>
      <c r="C97" s="26"/>
      <c r="D97" s="26"/>
      <c r="E97" s="26"/>
      <c r="F97" s="26"/>
      <c r="G97" s="26"/>
      <c r="H97" s="26"/>
      <c r="I97" s="26"/>
      <c r="J97" s="26"/>
      <c r="K97" s="56"/>
      <c r="L97" s="26"/>
      <c r="M97" s="26"/>
      <c r="N97" s="26"/>
      <c r="O97" s="26"/>
      <c r="P97" s="26"/>
      <c r="Q97" s="26"/>
      <c r="R97" s="26"/>
      <c r="S97" s="26"/>
      <c r="T97" s="26"/>
      <c r="U97" s="26"/>
      <c r="V97" s="26"/>
      <c r="W97" s="26"/>
      <c r="X97" s="26"/>
      <c r="Y97" s="26"/>
      <c r="Z97" s="26"/>
      <c r="AA97" s="26"/>
      <c r="AB97" s="26"/>
      <c r="AC97" s="26"/>
      <c r="AD97" s="26"/>
      <c r="AE97" s="26"/>
      <c r="AF97" s="26"/>
      <c r="AG97" s="26"/>
      <c r="AH97" s="26"/>
    </row>
    <row r="98" spans="1:34" ht="15.75" customHeight="1">
      <c r="A98" s="26"/>
      <c r="B98" s="26"/>
      <c r="C98" s="26"/>
      <c r="D98" s="26"/>
      <c r="E98" s="26"/>
      <c r="F98" s="26"/>
      <c r="G98" s="26"/>
      <c r="H98" s="26"/>
      <c r="I98" s="26"/>
      <c r="J98" s="26"/>
      <c r="K98" s="56"/>
      <c r="L98" s="26"/>
      <c r="M98" s="26"/>
      <c r="N98" s="26"/>
      <c r="O98" s="26"/>
      <c r="P98" s="26"/>
      <c r="Q98" s="26"/>
      <c r="R98" s="26"/>
      <c r="S98" s="26"/>
      <c r="T98" s="26"/>
      <c r="U98" s="26"/>
      <c r="V98" s="26"/>
      <c r="W98" s="26"/>
      <c r="X98" s="26"/>
      <c r="Y98" s="26"/>
      <c r="Z98" s="26"/>
      <c r="AA98" s="26"/>
      <c r="AB98" s="26"/>
      <c r="AC98" s="26"/>
      <c r="AD98" s="26"/>
      <c r="AE98" s="26"/>
      <c r="AF98" s="26"/>
      <c r="AG98" s="26"/>
      <c r="AH98" s="26"/>
    </row>
    <row r="99" spans="1:34" ht="15.75" customHeight="1">
      <c r="A99" s="26"/>
      <c r="B99" s="26"/>
      <c r="C99" s="26"/>
      <c r="D99" s="26"/>
      <c r="E99" s="26"/>
      <c r="F99" s="26"/>
      <c r="G99" s="26"/>
      <c r="H99" s="26"/>
      <c r="I99" s="26"/>
      <c r="J99" s="26"/>
      <c r="K99" s="56"/>
      <c r="L99" s="26"/>
      <c r="M99" s="26"/>
      <c r="N99" s="26"/>
      <c r="O99" s="26"/>
      <c r="P99" s="26"/>
      <c r="Q99" s="26"/>
      <c r="R99" s="26"/>
      <c r="S99" s="26"/>
      <c r="T99" s="26"/>
      <c r="U99" s="26"/>
      <c r="V99" s="26"/>
      <c r="W99" s="26"/>
      <c r="X99" s="26"/>
      <c r="Y99" s="26"/>
      <c r="Z99" s="26"/>
      <c r="AA99" s="26"/>
      <c r="AB99" s="26"/>
      <c r="AC99" s="26"/>
      <c r="AD99" s="26"/>
      <c r="AE99" s="26"/>
      <c r="AF99" s="26"/>
      <c r="AG99" s="26"/>
      <c r="AH99" s="26"/>
    </row>
    <row r="100" spans="1:34" ht="15.75" customHeight="1">
      <c r="A100" s="26"/>
      <c r="B100" s="26"/>
      <c r="C100" s="26"/>
      <c r="D100" s="26"/>
      <c r="E100" s="26"/>
      <c r="F100" s="26"/>
      <c r="G100" s="26"/>
      <c r="H100" s="26"/>
      <c r="I100" s="26"/>
      <c r="J100" s="26"/>
      <c r="K100" s="5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row>
    <row r="101" spans="1:34" ht="15.75" customHeight="1">
      <c r="A101" s="26"/>
      <c r="B101" s="26"/>
      <c r="C101" s="26"/>
      <c r="D101" s="26"/>
      <c r="E101" s="26"/>
      <c r="F101" s="26"/>
      <c r="G101" s="26"/>
      <c r="H101" s="26"/>
      <c r="I101" s="26"/>
      <c r="J101" s="26"/>
      <c r="K101" s="5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row>
    <row r="102" spans="1:34" ht="15.75" customHeight="1">
      <c r="A102" s="26"/>
      <c r="B102" s="26"/>
      <c r="C102" s="26"/>
      <c r="D102" s="26"/>
      <c r="E102" s="26"/>
      <c r="F102" s="26"/>
      <c r="G102" s="26"/>
      <c r="H102" s="26"/>
      <c r="I102" s="26"/>
      <c r="J102" s="26"/>
      <c r="K102" s="5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row>
    <row r="103" spans="1:34" ht="15.75" customHeight="1">
      <c r="A103" s="26"/>
      <c r="B103" s="26"/>
      <c r="C103" s="26"/>
      <c r="D103" s="26"/>
      <c r="E103" s="26"/>
      <c r="F103" s="26"/>
      <c r="G103" s="26"/>
      <c r="H103" s="26"/>
      <c r="I103" s="26"/>
      <c r="J103" s="26"/>
      <c r="K103" s="5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row>
    <row r="104" spans="1:34" ht="15.75" customHeight="1">
      <c r="A104" s="26"/>
      <c r="B104" s="26"/>
      <c r="C104" s="26"/>
      <c r="D104" s="26"/>
      <c r="E104" s="26"/>
      <c r="F104" s="26"/>
      <c r="G104" s="26"/>
      <c r="H104" s="26"/>
      <c r="I104" s="26"/>
      <c r="J104" s="26"/>
      <c r="K104" s="5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row>
    <row r="105" spans="1:34" ht="15.75" customHeight="1">
      <c r="A105" s="26"/>
      <c r="B105" s="26"/>
      <c r="C105" s="26"/>
      <c r="D105" s="26"/>
      <c r="E105" s="26"/>
      <c r="F105" s="26"/>
      <c r="G105" s="26"/>
      <c r="H105" s="26"/>
      <c r="I105" s="26"/>
      <c r="J105" s="26"/>
      <c r="K105" s="5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row>
    <row r="106" spans="1:34" ht="15.75" customHeight="1">
      <c r="A106" s="26"/>
      <c r="B106" s="26"/>
      <c r="C106" s="26"/>
      <c r="D106" s="26"/>
      <c r="E106" s="26"/>
      <c r="F106" s="26"/>
      <c r="G106" s="26"/>
      <c r="H106" s="26"/>
      <c r="I106" s="26"/>
      <c r="J106" s="26"/>
      <c r="K106" s="5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row>
    <row r="107" spans="1:34" ht="15.75" customHeight="1">
      <c r="A107" s="26"/>
      <c r="B107" s="26"/>
      <c r="C107" s="26"/>
      <c r="D107" s="26"/>
      <c r="E107" s="26"/>
      <c r="F107" s="26"/>
      <c r="G107" s="26"/>
      <c r="H107" s="26"/>
      <c r="I107" s="26"/>
      <c r="J107" s="26"/>
      <c r="K107" s="5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row>
    <row r="108" spans="1:34" ht="15.75" customHeight="1">
      <c r="A108" s="26"/>
      <c r="B108" s="26"/>
      <c r="C108" s="26"/>
      <c r="D108" s="26"/>
      <c r="E108" s="26"/>
      <c r="F108" s="26"/>
      <c r="G108" s="26"/>
      <c r="H108" s="26"/>
      <c r="I108" s="26"/>
      <c r="J108" s="26"/>
      <c r="K108" s="5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row>
    <row r="109" spans="1:34" ht="15.75" customHeight="1">
      <c r="A109" s="26"/>
      <c r="B109" s="26"/>
      <c r="C109" s="26"/>
      <c r="D109" s="26"/>
      <c r="E109" s="26"/>
      <c r="F109" s="26"/>
      <c r="G109" s="26"/>
      <c r="H109" s="26"/>
      <c r="I109" s="26"/>
      <c r="J109" s="26"/>
      <c r="K109" s="5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row>
    <row r="110" spans="1:34" ht="15.75" customHeight="1">
      <c r="A110" s="26"/>
      <c r="B110" s="26"/>
      <c r="C110" s="26"/>
      <c r="D110" s="26"/>
      <c r="E110" s="26"/>
      <c r="F110" s="26"/>
      <c r="G110" s="26"/>
      <c r="H110" s="26"/>
      <c r="I110" s="26"/>
      <c r="J110" s="26"/>
      <c r="K110" s="5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row>
    <row r="111" spans="1:34" ht="15.75" customHeight="1">
      <c r="A111" s="26"/>
      <c r="B111" s="26"/>
      <c r="C111" s="26"/>
      <c r="D111" s="26"/>
      <c r="E111" s="26"/>
      <c r="F111" s="26"/>
      <c r="G111" s="26"/>
      <c r="H111" s="26"/>
      <c r="I111" s="26"/>
      <c r="J111" s="26"/>
      <c r="K111" s="5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row>
    <row r="112" spans="1:34" ht="15.75" customHeight="1">
      <c r="A112" s="26"/>
      <c r="B112" s="26"/>
      <c r="C112" s="26"/>
      <c r="D112" s="26"/>
      <c r="E112" s="26"/>
      <c r="F112" s="26"/>
      <c r="G112" s="26"/>
      <c r="H112" s="26"/>
      <c r="I112" s="26"/>
      <c r="J112" s="26"/>
      <c r="K112" s="5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row>
    <row r="113" spans="1:34" ht="15.75" customHeight="1">
      <c r="A113" s="26"/>
      <c r="B113" s="26"/>
      <c r="C113" s="26"/>
      <c r="D113" s="26"/>
      <c r="E113" s="26"/>
      <c r="F113" s="26"/>
      <c r="G113" s="26"/>
      <c r="H113" s="26"/>
      <c r="I113" s="26"/>
      <c r="J113" s="26"/>
      <c r="K113" s="5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row>
    <row r="114" spans="1:34" ht="15.75" customHeight="1">
      <c r="A114" s="26"/>
      <c r="B114" s="26"/>
      <c r="C114" s="26"/>
      <c r="D114" s="26"/>
      <c r="E114" s="26"/>
      <c r="F114" s="26"/>
      <c r="G114" s="26"/>
      <c r="H114" s="26"/>
      <c r="I114" s="26"/>
      <c r="J114" s="26"/>
      <c r="K114" s="5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row>
    <row r="115" spans="1:34" ht="15.75" customHeight="1">
      <c r="A115" s="26"/>
      <c r="B115" s="26"/>
      <c r="C115" s="26"/>
      <c r="D115" s="26"/>
      <c r="E115" s="26"/>
      <c r="F115" s="26"/>
      <c r="G115" s="26"/>
      <c r="H115" s="26"/>
      <c r="I115" s="26"/>
      <c r="J115" s="26"/>
      <c r="K115" s="5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row>
    <row r="116" spans="1:34" ht="15.75" customHeight="1">
      <c r="A116" s="26"/>
      <c r="B116" s="26"/>
      <c r="C116" s="26"/>
      <c r="D116" s="26"/>
      <c r="E116" s="26"/>
      <c r="F116" s="26"/>
      <c r="G116" s="26"/>
      <c r="H116" s="26"/>
      <c r="I116" s="26"/>
      <c r="J116" s="26"/>
      <c r="K116" s="5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row>
    <row r="117" spans="1:34" ht="15.75" customHeight="1">
      <c r="A117" s="26"/>
      <c r="B117" s="26"/>
      <c r="C117" s="26"/>
      <c r="D117" s="26"/>
      <c r="E117" s="26"/>
      <c r="F117" s="26"/>
      <c r="G117" s="26"/>
      <c r="H117" s="26"/>
      <c r="I117" s="26"/>
      <c r="J117" s="26"/>
      <c r="K117" s="5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row>
    <row r="118" spans="1:34" ht="15.75" customHeight="1">
      <c r="A118" s="26"/>
      <c r="B118" s="26"/>
      <c r="C118" s="26"/>
      <c r="D118" s="26"/>
      <c r="E118" s="26"/>
      <c r="F118" s="26"/>
      <c r="G118" s="26"/>
      <c r="H118" s="26"/>
      <c r="I118" s="26"/>
      <c r="J118" s="26"/>
      <c r="K118" s="5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row>
    <row r="119" spans="1:34" ht="15.75" customHeight="1">
      <c r="A119" s="26"/>
      <c r="B119" s="26"/>
      <c r="C119" s="26"/>
      <c r="D119" s="26"/>
      <c r="E119" s="26"/>
      <c r="F119" s="26"/>
      <c r="G119" s="26"/>
      <c r="H119" s="26"/>
      <c r="I119" s="26"/>
      <c r="J119" s="26"/>
      <c r="K119" s="5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row>
    <row r="120" spans="1:34" ht="15.75" customHeight="1">
      <c r="A120" s="26"/>
      <c r="B120" s="26"/>
      <c r="C120" s="26"/>
      <c r="D120" s="26"/>
      <c r="E120" s="26"/>
      <c r="F120" s="26"/>
      <c r="G120" s="26"/>
      <c r="H120" s="26"/>
      <c r="I120" s="26"/>
      <c r="J120" s="26"/>
      <c r="K120" s="5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row>
    <row r="121" spans="1:34" ht="15.75" customHeight="1">
      <c r="A121" s="26"/>
      <c r="B121" s="26"/>
      <c r="C121" s="26"/>
      <c r="D121" s="26"/>
      <c r="E121" s="26"/>
      <c r="F121" s="26"/>
      <c r="G121" s="26"/>
      <c r="H121" s="26"/>
      <c r="I121" s="26"/>
      <c r="J121" s="26"/>
      <c r="K121" s="5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row>
    <row r="122" spans="1:34" ht="15.75" customHeight="1">
      <c r="A122" s="26"/>
      <c r="B122" s="26"/>
      <c r="C122" s="26"/>
      <c r="D122" s="26"/>
      <c r="E122" s="26"/>
      <c r="F122" s="26"/>
      <c r="G122" s="26"/>
      <c r="H122" s="26"/>
      <c r="I122" s="26"/>
      <c r="J122" s="26"/>
      <c r="K122" s="5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row>
    <row r="123" spans="1:34" ht="15.75" customHeight="1">
      <c r="A123" s="26"/>
      <c r="B123" s="26"/>
      <c r="C123" s="26"/>
      <c r="D123" s="26"/>
      <c r="E123" s="26"/>
      <c r="F123" s="26"/>
      <c r="G123" s="26"/>
      <c r="H123" s="26"/>
      <c r="I123" s="26"/>
      <c r="J123" s="26"/>
      <c r="K123" s="5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row>
    <row r="124" spans="1:34" ht="15.75" customHeight="1">
      <c r="A124" s="26"/>
      <c r="B124" s="26"/>
      <c r="C124" s="26"/>
      <c r="D124" s="26"/>
      <c r="E124" s="26"/>
      <c r="F124" s="26"/>
      <c r="G124" s="26"/>
      <c r="H124" s="26"/>
      <c r="I124" s="26"/>
      <c r="J124" s="26"/>
      <c r="K124" s="5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row>
    <row r="125" spans="1:34" ht="15.75" customHeight="1">
      <c r="A125" s="26"/>
      <c r="B125" s="26"/>
      <c r="C125" s="26"/>
      <c r="D125" s="26"/>
      <c r="E125" s="26"/>
      <c r="F125" s="26"/>
      <c r="G125" s="26"/>
      <c r="H125" s="26"/>
      <c r="I125" s="26"/>
      <c r="J125" s="26"/>
      <c r="K125" s="5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row>
    <row r="126" spans="1:34" ht="15.75" customHeight="1">
      <c r="A126" s="26"/>
      <c r="B126" s="26"/>
      <c r="C126" s="26"/>
      <c r="D126" s="26"/>
      <c r="E126" s="26"/>
      <c r="F126" s="26"/>
      <c r="G126" s="26"/>
      <c r="H126" s="26"/>
      <c r="I126" s="26"/>
      <c r="J126" s="26"/>
      <c r="K126" s="5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row>
    <row r="127" spans="1:34" ht="15.75" customHeight="1">
      <c r="A127" s="26"/>
      <c r="B127" s="26"/>
      <c r="C127" s="26"/>
      <c r="D127" s="26"/>
      <c r="E127" s="26"/>
      <c r="F127" s="26"/>
      <c r="G127" s="26"/>
      <c r="H127" s="26"/>
      <c r="I127" s="26"/>
      <c r="J127" s="26"/>
      <c r="K127" s="5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row>
    <row r="128" spans="1:34" ht="15.75" customHeight="1">
      <c r="A128" s="26"/>
      <c r="B128" s="26"/>
      <c r="C128" s="26"/>
      <c r="D128" s="26"/>
      <c r="E128" s="26"/>
      <c r="F128" s="26"/>
      <c r="G128" s="26"/>
      <c r="H128" s="26"/>
      <c r="I128" s="26"/>
      <c r="J128" s="26"/>
      <c r="K128" s="5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row>
    <row r="129" spans="1:34" ht="15.75" customHeight="1">
      <c r="A129" s="26"/>
      <c r="B129" s="26"/>
      <c r="C129" s="26"/>
      <c r="D129" s="26"/>
      <c r="E129" s="26"/>
      <c r="F129" s="26"/>
      <c r="G129" s="26"/>
      <c r="H129" s="26"/>
      <c r="I129" s="26"/>
      <c r="J129" s="26"/>
      <c r="K129" s="5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row>
    <row r="130" spans="1:34" ht="15.75" customHeight="1">
      <c r="A130" s="26"/>
      <c r="B130" s="26"/>
      <c r="C130" s="26"/>
      <c r="D130" s="26"/>
      <c r="E130" s="26"/>
      <c r="F130" s="26"/>
      <c r="G130" s="26"/>
      <c r="H130" s="26"/>
      <c r="I130" s="26"/>
      <c r="J130" s="26"/>
      <c r="K130" s="5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row>
    <row r="131" spans="1:34" ht="15.75" customHeight="1">
      <c r="A131" s="26"/>
      <c r="B131" s="26"/>
      <c r="C131" s="26"/>
      <c r="D131" s="26"/>
      <c r="E131" s="26"/>
      <c r="F131" s="26"/>
      <c r="G131" s="26"/>
      <c r="H131" s="26"/>
      <c r="I131" s="26"/>
      <c r="J131" s="26"/>
      <c r="K131" s="5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row>
    <row r="132" spans="1:34" ht="15.75" customHeight="1">
      <c r="A132" s="26"/>
      <c r="B132" s="26"/>
      <c r="C132" s="26"/>
      <c r="D132" s="26"/>
      <c r="E132" s="26"/>
      <c r="F132" s="26"/>
      <c r="G132" s="26"/>
      <c r="H132" s="26"/>
      <c r="I132" s="26"/>
      <c r="J132" s="26"/>
      <c r="K132" s="5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row>
    <row r="133" spans="1:34" ht="15.75" customHeight="1">
      <c r="A133" s="26"/>
      <c r="B133" s="26"/>
      <c r="C133" s="26"/>
      <c r="D133" s="26"/>
      <c r="E133" s="26"/>
      <c r="F133" s="26"/>
      <c r="G133" s="26"/>
      <c r="H133" s="26"/>
      <c r="I133" s="26"/>
      <c r="J133" s="26"/>
      <c r="K133" s="5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row>
    <row r="134" spans="1:34" ht="15.75" customHeight="1">
      <c r="A134" s="26"/>
      <c r="B134" s="26"/>
      <c r="C134" s="26"/>
      <c r="D134" s="26"/>
      <c r="E134" s="26"/>
      <c r="F134" s="26"/>
      <c r="G134" s="26"/>
      <c r="H134" s="26"/>
      <c r="I134" s="26"/>
      <c r="J134" s="26"/>
      <c r="K134" s="5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row>
    <row r="135" spans="1:34" ht="15.75" customHeight="1">
      <c r="A135" s="26"/>
      <c r="B135" s="26"/>
      <c r="C135" s="26"/>
      <c r="D135" s="26"/>
      <c r="E135" s="26"/>
      <c r="F135" s="26"/>
      <c r="G135" s="26"/>
      <c r="H135" s="26"/>
      <c r="I135" s="26"/>
      <c r="J135" s="26"/>
      <c r="K135" s="5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row>
    <row r="136" spans="1:34" ht="15.75" customHeight="1">
      <c r="A136" s="26"/>
      <c r="B136" s="26"/>
      <c r="C136" s="26"/>
      <c r="D136" s="26"/>
      <c r="E136" s="26"/>
      <c r="F136" s="26"/>
      <c r="G136" s="26"/>
      <c r="H136" s="26"/>
      <c r="I136" s="26"/>
      <c r="J136" s="26"/>
      <c r="K136" s="5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row>
    <row r="137" spans="1:34" ht="15.75" customHeight="1">
      <c r="A137" s="26"/>
      <c r="B137" s="26"/>
      <c r="C137" s="26"/>
      <c r="D137" s="26"/>
      <c r="E137" s="26"/>
      <c r="F137" s="26"/>
      <c r="G137" s="26"/>
      <c r="H137" s="26"/>
      <c r="I137" s="26"/>
      <c r="J137" s="26"/>
      <c r="K137" s="5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row>
    <row r="138" spans="1:34" ht="15.75" customHeight="1">
      <c r="A138" s="26"/>
      <c r="B138" s="26"/>
      <c r="C138" s="26"/>
      <c r="D138" s="26"/>
      <c r="E138" s="26"/>
      <c r="F138" s="26"/>
      <c r="G138" s="26"/>
      <c r="H138" s="26"/>
      <c r="I138" s="26"/>
      <c r="J138" s="26"/>
      <c r="K138" s="5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row>
    <row r="139" spans="1:34" ht="15.75" customHeight="1">
      <c r="A139" s="26"/>
      <c r="B139" s="26"/>
      <c r="C139" s="26"/>
      <c r="D139" s="26"/>
      <c r="E139" s="26"/>
      <c r="F139" s="26"/>
      <c r="G139" s="26"/>
      <c r="H139" s="26"/>
      <c r="I139" s="26"/>
      <c r="J139" s="26"/>
      <c r="K139" s="5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row>
    <row r="140" spans="1:34" ht="15.75" customHeight="1">
      <c r="A140" s="26"/>
      <c r="B140" s="26"/>
      <c r="C140" s="26"/>
      <c r="D140" s="26"/>
      <c r="E140" s="26"/>
      <c r="F140" s="26"/>
      <c r="G140" s="26"/>
      <c r="H140" s="26"/>
      <c r="I140" s="26"/>
      <c r="J140" s="26"/>
      <c r="K140" s="5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row>
    <row r="141" spans="1:34" ht="15.75" customHeight="1">
      <c r="A141" s="26"/>
      <c r="B141" s="26"/>
      <c r="C141" s="26"/>
      <c r="D141" s="26"/>
      <c r="E141" s="26"/>
      <c r="F141" s="26"/>
      <c r="G141" s="26"/>
      <c r="H141" s="26"/>
      <c r="I141" s="26"/>
      <c r="J141" s="26"/>
      <c r="K141" s="5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row>
    <row r="142" spans="1:34" ht="15.75" customHeight="1">
      <c r="A142" s="26"/>
      <c r="B142" s="26"/>
      <c r="C142" s="26"/>
      <c r="D142" s="26"/>
      <c r="E142" s="26"/>
      <c r="F142" s="26"/>
      <c r="G142" s="26"/>
      <c r="H142" s="26"/>
      <c r="I142" s="26"/>
      <c r="J142" s="26"/>
      <c r="K142" s="5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row>
    <row r="143" spans="1:34" ht="15.75" customHeight="1">
      <c r="A143" s="26"/>
      <c r="B143" s="26"/>
      <c r="C143" s="26"/>
      <c r="D143" s="26"/>
      <c r="E143" s="26"/>
      <c r="F143" s="26"/>
      <c r="G143" s="26"/>
      <c r="H143" s="26"/>
      <c r="I143" s="26"/>
      <c r="J143" s="26"/>
      <c r="K143" s="5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row>
    <row r="144" spans="1:34" ht="15.75" customHeight="1">
      <c r="A144" s="26"/>
      <c r="B144" s="26"/>
      <c r="C144" s="26"/>
      <c r="D144" s="26"/>
      <c r="E144" s="26"/>
      <c r="F144" s="26"/>
      <c r="G144" s="26"/>
      <c r="H144" s="26"/>
      <c r="I144" s="26"/>
      <c r="J144" s="26"/>
      <c r="K144" s="5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row>
    <row r="145" spans="1:34" ht="15.75" customHeight="1">
      <c r="A145" s="26"/>
      <c r="B145" s="26"/>
      <c r="C145" s="26"/>
      <c r="D145" s="26"/>
      <c r="E145" s="26"/>
      <c r="F145" s="26"/>
      <c r="G145" s="26"/>
      <c r="H145" s="26"/>
      <c r="I145" s="26"/>
      <c r="J145" s="26"/>
      <c r="K145" s="5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row>
    <row r="146" spans="1:34" ht="15.75" customHeight="1">
      <c r="A146" s="26"/>
      <c r="B146" s="26"/>
      <c r="C146" s="26"/>
      <c r="D146" s="26"/>
      <c r="E146" s="26"/>
      <c r="F146" s="26"/>
      <c r="G146" s="26"/>
      <c r="H146" s="26"/>
      <c r="I146" s="26"/>
      <c r="J146" s="26"/>
      <c r="K146" s="5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row>
    <row r="147" spans="1:34" ht="15.75" customHeight="1">
      <c r="A147" s="26"/>
      <c r="B147" s="26"/>
      <c r="C147" s="26"/>
      <c r="D147" s="26"/>
      <c r="E147" s="26"/>
      <c r="F147" s="26"/>
      <c r="G147" s="26"/>
      <c r="H147" s="26"/>
      <c r="I147" s="26"/>
      <c r="J147" s="26"/>
      <c r="K147" s="5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row>
    <row r="148" spans="1:34" ht="15.75" customHeight="1">
      <c r="A148" s="26"/>
      <c r="B148" s="26"/>
      <c r="C148" s="26"/>
      <c r="D148" s="26"/>
      <c r="E148" s="26"/>
      <c r="F148" s="26"/>
      <c r="G148" s="26"/>
      <c r="H148" s="26"/>
      <c r="I148" s="26"/>
      <c r="J148" s="26"/>
      <c r="K148" s="5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row>
    <row r="149" spans="1:34" ht="15.75" customHeight="1">
      <c r="A149" s="26"/>
      <c r="B149" s="26"/>
      <c r="C149" s="26"/>
      <c r="D149" s="26"/>
      <c r="E149" s="26"/>
      <c r="F149" s="26"/>
      <c r="G149" s="26"/>
      <c r="H149" s="26"/>
      <c r="I149" s="26"/>
      <c r="J149" s="26"/>
      <c r="K149" s="5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row>
    <row r="150" spans="1:34" ht="15.75" customHeight="1">
      <c r="A150" s="26"/>
      <c r="B150" s="26"/>
      <c r="C150" s="26"/>
      <c r="D150" s="26"/>
      <c r="E150" s="26"/>
      <c r="F150" s="26"/>
      <c r="G150" s="26"/>
      <c r="H150" s="26"/>
      <c r="I150" s="26"/>
      <c r="J150" s="26"/>
      <c r="K150" s="5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row>
    <row r="151" spans="1:34" ht="15.75" customHeight="1">
      <c r="A151" s="26"/>
      <c r="B151" s="26"/>
      <c r="C151" s="26"/>
      <c r="D151" s="26"/>
      <c r="E151" s="26"/>
      <c r="F151" s="26"/>
      <c r="G151" s="26"/>
      <c r="H151" s="26"/>
      <c r="I151" s="26"/>
      <c r="J151" s="26"/>
      <c r="K151" s="5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row>
    <row r="152" spans="1:34" ht="15.75" customHeight="1">
      <c r="A152" s="26"/>
      <c r="B152" s="26"/>
      <c r="C152" s="26"/>
      <c r="D152" s="26"/>
      <c r="E152" s="26"/>
      <c r="F152" s="26"/>
      <c r="G152" s="26"/>
      <c r="H152" s="26"/>
      <c r="I152" s="26"/>
      <c r="J152" s="26"/>
      <c r="K152" s="5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row>
    <row r="153" spans="1:34" ht="15.75" customHeight="1">
      <c r="A153" s="26"/>
      <c r="B153" s="26"/>
      <c r="C153" s="26"/>
      <c r="D153" s="26"/>
      <c r="E153" s="26"/>
      <c r="F153" s="26"/>
      <c r="G153" s="26"/>
      <c r="H153" s="26"/>
      <c r="I153" s="26"/>
      <c r="J153" s="26"/>
      <c r="K153" s="5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row>
    <row r="154" spans="1:34" ht="15.75" customHeight="1">
      <c r="A154" s="26"/>
      <c r="B154" s="26"/>
      <c r="C154" s="26"/>
      <c r="D154" s="26"/>
      <c r="E154" s="26"/>
      <c r="F154" s="26"/>
      <c r="G154" s="26"/>
      <c r="H154" s="26"/>
      <c r="I154" s="26"/>
      <c r="J154" s="26"/>
      <c r="K154" s="5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row>
    <row r="155" spans="1:34" ht="15.75" customHeight="1">
      <c r="A155" s="26"/>
      <c r="B155" s="26"/>
      <c r="C155" s="26"/>
      <c r="D155" s="26"/>
      <c r="E155" s="26"/>
      <c r="F155" s="26"/>
      <c r="G155" s="26"/>
      <c r="H155" s="26"/>
      <c r="I155" s="26"/>
      <c r="J155" s="26"/>
      <c r="K155" s="5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row>
    <row r="156" spans="1:34" ht="15.75" customHeight="1">
      <c r="A156" s="26"/>
      <c r="B156" s="26"/>
      <c r="C156" s="26"/>
      <c r="D156" s="26"/>
      <c r="E156" s="26"/>
      <c r="F156" s="26"/>
      <c r="G156" s="26"/>
      <c r="H156" s="26"/>
      <c r="I156" s="26"/>
      <c r="J156" s="26"/>
      <c r="K156" s="5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row>
    <row r="157" spans="1:34" ht="15.75" customHeight="1">
      <c r="A157" s="26"/>
      <c r="B157" s="26"/>
      <c r="C157" s="26"/>
      <c r="D157" s="26"/>
      <c r="E157" s="26"/>
      <c r="F157" s="26"/>
      <c r="G157" s="26"/>
      <c r="H157" s="26"/>
      <c r="I157" s="26"/>
      <c r="J157" s="26"/>
      <c r="K157" s="5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row>
    <row r="158" spans="1:34" ht="15.75" customHeight="1">
      <c r="A158" s="26"/>
      <c r="B158" s="26"/>
      <c r="C158" s="26"/>
      <c r="D158" s="26"/>
      <c r="E158" s="26"/>
      <c r="F158" s="26"/>
      <c r="G158" s="26"/>
      <c r="H158" s="26"/>
      <c r="I158" s="26"/>
      <c r="J158" s="26"/>
      <c r="K158" s="5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row>
    <row r="159" spans="1:34" ht="15.75" customHeight="1">
      <c r="A159" s="26"/>
      <c r="B159" s="26"/>
      <c r="C159" s="26"/>
      <c r="D159" s="26"/>
      <c r="E159" s="26"/>
      <c r="F159" s="26"/>
      <c r="G159" s="26"/>
      <c r="H159" s="26"/>
      <c r="I159" s="26"/>
      <c r="J159" s="26"/>
      <c r="K159" s="5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row>
    <row r="160" spans="1:34" ht="15.75" customHeight="1">
      <c r="A160" s="26"/>
      <c r="B160" s="26"/>
      <c r="C160" s="26"/>
      <c r="D160" s="26"/>
      <c r="E160" s="26"/>
      <c r="F160" s="26"/>
      <c r="G160" s="26"/>
      <c r="H160" s="26"/>
      <c r="I160" s="26"/>
      <c r="J160" s="26"/>
      <c r="K160" s="5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row>
    <row r="161" spans="1:34" ht="15.75" customHeight="1">
      <c r="A161" s="26"/>
      <c r="B161" s="26"/>
      <c r="C161" s="26"/>
      <c r="D161" s="26"/>
      <c r="E161" s="26"/>
      <c r="F161" s="26"/>
      <c r="G161" s="26"/>
      <c r="H161" s="26"/>
      <c r="I161" s="26"/>
      <c r="J161" s="26"/>
      <c r="K161" s="5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row>
    <row r="162" spans="1:34" ht="15.75" customHeight="1">
      <c r="A162" s="26"/>
      <c r="B162" s="26"/>
      <c r="C162" s="26"/>
      <c r="D162" s="26"/>
      <c r="E162" s="26"/>
      <c r="F162" s="26"/>
      <c r="G162" s="26"/>
      <c r="H162" s="26"/>
      <c r="I162" s="26"/>
      <c r="J162" s="26"/>
      <c r="K162" s="5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row>
    <row r="163" spans="1:34" ht="15.75" customHeight="1">
      <c r="A163" s="26"/>
      <c r="B163" s="26"/>
      <c r="C163" s="26"/>
      <c r="D163" s="26"/>
      <c r="E163" s="26"/>
      <c r="F163" s="26"/>
      <c r="G163" s="26"/>
      <c r="H163" s="26"/>
      <c r="I163" s="26"/>
      <c r="J163" s="26"/>
      <c r="K163" s="5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row>
    <row r="164" spans="1:34" ht="15.75" customHeight="1">
      <c r="A164" s="26"/>
      <c r="B164" s="26"/>
      <c r="C164" s="26"/>
      <c r="D164" s="26"/>
      <c r="E164" s="26"/>
      <c r="F164" s="26"/>
      <c r="G164" s="26"/>
      <c r="H164" s="26"/>
      <c r="I164" s="26"/>
      <c r="J164" s="26"/>
      <c r="K164" s="5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row>
    <row r="165" spans="1:34" ht="15.75" customHeight="1">
      <c r="A165" s="26"/>
      <c r="B165" s="26"/>
      <c r="C165" s="26"/>
      <c r="D165" s="26"/>
      <c r="E165" s="26"/>
      <c r="F165" s="26"/>
      <c r="G165" s="26"/>
      <c r="H165" s="26"/>
      <c r="I165" s="26"/>
      <c r="J165" s="26"/>
      <c r="K165" s="5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row>
    <row r="166" spans="1:34" ht="15.75" customHeight="1">
      <c r="A166" s="26"/>
      <c r="B166" s="26"/>
      <c r="C166" s="26"/>
      <c r="D166" s="26"/>
      <c r="E166" s="26"/>
      <c r="F166" s="26"/>
      <c r="G166" s="26"/>
      <c r="H166" s="26"/>
      <c r="I166" s="26"/>
      <c r="J166" s="26"/>
      <c r="K166" s="5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row>
    <row r="167" spans="1:34" ht="15.75" customHeight="1">
      <c r="A167" s="26"/>
      <c r="B167" s="26"/>
      <c r="C167" s="26"/>
      <c r="D167" s="26"/>
      <c r="E167" s="26"/>
      <c r="F167" s="26"/>
      <c r="G167" s="26"/>
      <c r="H167" s="26"/>
      <c r="I167" s="26"/>
      <c r="J167" s="26"/>
      <c r="K167" s="5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row>
    <row r="168" spans="1:34" ht="15.75" customHeight="1">
      <c r="A168" s="26"/>
      <c r="B168" s="26"/>
      <c r="C168" s="26"/>
      <c r="D168" s="26"/>
      <c r="E168" s="26"/>
      <c r="F168" s="26"/>
      <c r="G168" s="26"/>
      <c r="H168" s="26"/>
      <c r="I168" s="26"/>
      <c r="J168" s="26"/>
      <c r="K168" s="5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row>
    <row r="169" spans="1:34" ht="15.75" customHeight="1">
      <c r="A169" s="26"/>
      <c r="B169" s="26"/>
      <c r="C169" s="26"/>
      <c r="D169" s="26"/>
      <c r="E169" s="26"/>
      <c r="F169" s="26"/>
      <c r="G169" s="26"/>
      <c r="H169" s="26"/>
      <c r="I169" s="26"/>
      <c r="J169" s="26"/>
      <c r="K169" s="5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row>
    <row r="170" spans="1:34" ht="15.75" customHeight="1">
      <c r="A170" s="26"/>
      <c r="B170" s="26"/>
      <c r="C170" s="26"/>
      <c r="D170" s="26"/>
      <c r="E170" s="26"/>
      <c r="F170" s="26"/>
      <c r="G170" s="26"/>
      <c r="H170" s="26"/>
      <c r="I170" s="26"/>
      <c r="J170" s="26"/>
      <c r="K170" s="5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row>
    <row r="171" spans="1:34" ht="15.75" customHeight="1">
      <c r="A171" s="26"/>
      <c r="B171" s="26"/>
      <c r="C171" s="26"/>
      <c r="D171" s="26"/>
      <c r="E171" s="26"/>
      <c r="F171" s="26"/>
      <c r="G171" s="26"/>
      <c r="H171" s="26"/>
      <c r="I171" s="26"/>
      <c r="J171" s="26"/>
      <c r="K171" s="5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row>
    <row r="172" spans="1:34" ht="15.75" customHeight="1">
      <c r="A172" s="26"/>
      <c r="B172" s="26"/>
      <c r="C172" s="26"/>
      <c r="D172" s="26"/>
      <c r="E172" s="26"/>
      <c r="F172" s="26"/>
      <c r="G172" s="26"/>
      <c r="H172" s="26"/>
      <c r="I172" s="26"/>
      <c r="J172" s="26"/>
      <c r="K172" s="5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row>
    <row r="173" spans="1:34" ht="15.75" customHeight="1">
      <c r="A173" s="26"/>
      <c r="B173" s="26"/>
      <c r="C173" s="26"/>
      <c r="D173" s="26"/>
      <c r="E173" s="26"/>
      <c r="F173" s="26"/>
      <c r="G173" s="26"/>
      <c r="H173" s="26"/>
      <c r="I173" s="26"/>
      <c r="J173" s="26"/>
      <c r="K173" s="5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row>
    <row r="174" spans="1:34" ht="15.75" customHeight="1">
      <c r="A174" s="26"/>
      <c r="B174" s="26"/>
      <c r="C174" s="26"/>
      <c r="D174" s="26"/>
      <c r="E174" s="26"/>
      <c r="F174" s="26"/>
      <c r="G174" s="26"/>
      <c r="H174" s="26"/>
      <c r="I174" s="26"/>
      <c r="J174" s="26"/>
      <c r="K174" s="5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row>
    <row r="175" spans="1:34" ht="15.75" customHeight="1">
      <c r="A175" s="26"/>
      <c r="B175" s="26"/>
      <c r="C175" s="26"/>
      <c r="D175" s="26"/>
      <c r="E175" s="26"/>
      <c r="F175" s="26"/>
      <c r="G175" s="26"/>
      <c r="H175" s="26"/>
      <c r="I175" s="26"/>
      <c r="J175" s="26"/>
      <c r="K175" s="5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row>
    <row r="176" spans="1:34" ht="15.75" customHeight="1">
      <c r="A176" s="26"/>
      <c r="B176" s="26"/>
      <c r="C176" s="26"/>
      <c r="D176" s="26"/>
      <c r="E176" s="26"/>
      <c r="F176" s="26"/>
      <c r="G176" s="26"/>
      <c r="H176" s="26"/>
      <c r="I176" s="26"/>
      <c r="J176" s="26"/>
      <c r="K176" s="5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row>
    <row r="177" spans="1:34" ht="15.75" customHeight="1">
      <c r="A177" s="26"/>
      <c r="B177" s="26"/>
      <c r="C177" s="26"/>
      <c r="D177" s="26"/>
      <c r="E177" s="26"/>
      <c r="F177" s="26"/>
      <c r="G177" s="26"/>
      <c r="H177" s="26"/>
      <c r="I177" s="26"/>
      <c r="J177" s="26"/>
      <c r="K177" s="5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row>
    <row r="178" spans="1:34" ht="15.75" customHeight="1">
      <c r="A178" s="26"/>
      <c r="B178" s="26"/>
      <c r="C178" s="26"/>
      <c r="D178" s="26"/>
      <c r="E178" s="26"/>
      <c r="F178" s="26"/>
      <c r="G178" s="26"/>
      <c r="H178" s="26"/>
      <c r="I178" s="26"/>
      <c r="J178" s="26"/>
      <c r="K178" s="5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row>
    <row r="179" spans="1:34" ht="15.75" customHeight="1">
      <c r="A179" s="26"/>
      <c r="B179" s="26"/>
      <c r="C179" s="26"/>
      <c r="D179" s="26"/>
      <c r="E179" s="26"/>
      <c r="F179" s="26"/>
      <c r="G179" s="26"/>
      <c r="H179" s="26"/>
      <c r="I179" s="26"/>
      <c r="J179" s="26"/>
      <c r="K179" s="5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row>
    <row r="180" spans="1:34" ht="15.75" customHeight="1">
      <c r="A180" s="26"/>
      <c r="B180" s="26"/>
      <c r="C180" s="26"/>
      <c r="D180" s="26"/>
      <c r="E180" s="26"/>
      <c r="F180" s="26"/>
      <c r="G180" s="26"/>
      <c r="H180" s="26"/>
      <c r="I180" s="26"/>
      <c r="J180" s="26"/>
      <c r="K180" s="5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row>
    <row r="181" spans="1:34" ht="15.75" customHeight="1">
      <c r="A181" s="26"/>
      <c r="B181" s="26"/>
      <c r="C181" s="26"/>
      <c r="D181" s="26"/>
      <c r="E181" s="26"/>
      <c r="F181" s="26"/>
      <c r="G181" s="26"/>
      <c r="H181" s="26"/>
      <c r="I181" s="26"/>
      <c r="J181" s="26"/>
      <c r="K181" s="5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row>
    <row r="182" spans="1:34" ht="15.75" customHeight="1">
      <c r="A182" s="26"/>
      <c r="B182" s="26"/>
      <c r="C182" s="26"/>
      <c r="D182" s="26"/>
      <c r="E182" s="26"/>
      <c r="F182" s="26"/>
      <c r="G182" s="26"/>
      <c r="H182" s="26"/>
      <c r="I182" s="26"/>
      <c r="J182" s="26"/>
      <c r="K182" s="5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row>
    <row r="183" spans="1:34" ht="15.75" customHeight="1">
      <c r="A183" s="26"/>
      <c r="B183" s="26"/>
      <c r="C183" s="26"/>
      <c r="D183" s="26"/>
      <c r="E183" s="26"/>
      <c r="F183" s="26"/>
      <c r="G183" s="26"/>
      <c r="H183" s="26"/>
      <c r="I183" s="26"/>
      <c r="J183" s="26"/>
      <c r="K183" s="5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row>
    <row r="184" spans="1:34" ht="15.75" customHeight="1">
      <c r="A184" s="26"/>
      <c r="B184" s="26"/>
      <c r="C184" s="26"/>
      <c r="D184" s="26"/>
      <c r="E184" s="26"/>
      <c r="F184" s="26"/>
      <c r="G184" s="26"/>
      <c r="H184" s="26"/>
      <c r="I184" s="26"/>
      <c r="J184" s="26"/>
      <c r="K184" s="5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row>
    <row r="185" spans="1:34" ht="15.75" customHeight="1">
      <c r="A185" s="26"/>
      <c r="B185" s="26"/>
      <c r="C185" s="26"/>
      <c r="D185" s="26"/>
      <c r="E185" s="26"/>
      <c r="F185" s="26"/>
      <c r="G185" s="26"/>
      <c r="H185" s="26"/>
      <c r="I185" s="26"/>
      <c r="J185" s="26"/>
      <c r="K185" s="5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row>
    <row r="186" spans="1:34" ht="15.75" customHeight="1">
      <c r="A186" s="26"/>
      <c r="B186" s="26"/>
      <c r="C186" s="26"/>
      <c r="D186" s="26"/>
      <c r="E186" s="26"/>
      <c r="F186" s="26"/>
      <c r="G186" s="26"/>
      <c r="H186" s="26"/>
      <c r="I186" s="26"/>
      <c r="J186" s="26"/>
      <c r="K186" s="5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row>
    <row r="187" spans="1:34" ht="15.75" customHeight="1">
      <c r="A187" s="26"/>
      <c r="B187" s="26"/>
      <c r="C187" s="26"/>
      <c r="D187" s="26"/>
      <c r="E187" s="26"/>
      <c r="F187" s="26"/>
      <c r="G187" s="26"/>
      <c r="H187" s="26"/>
      <c r="I187" s="26"/>
      <c r="J187" s="26"/>
      <c r="K187" s="5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row>
    <row r="188" spans="1:34" ht="15.75" customHeight="1">
      <c r="A188" s="26"/>
      <c r="B188" s="26"/>
      <c r="C188" s="26"/>
      <c r="D188" s="26"/>
      <c r="E188" s="26"/>
      <c r="F188" s="26"/>
      <c r="G188" s="26"/>
      <c r="H188" s="26"/>
      <c r="I188" s="26"/>
      <c r="J188" s="26"/>
      <c r="K188" s="5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row>
    <row r="189" spans="1:34" ht="15.75" customHeight="1">
      <c r="A189" s="26"/>
      <c r="B189" s="26"/>
      <c r="C189" s="26"/>
      <c r="D189" s="26"/>
      <c r="E189" s="26"/>
      <c r="F189" s="26"/>
      <c r="G189" s="26"/>
      <c r="H189" s="26"/>
      <c r="I189" s="26"/>
      <c r="J189" s="26"/>
      <c r="K189" s="5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row>
    <row r="190" spans="1:34" ht="15.75" customHeight="1">
      <c r="A190" s="26"/>
      <c r="B190" s="26"/>
      <c r="C190" s="26"/>
      <c r="D190" s="26"/>
      <c r="E190" s="26"/>
      <c r="F190" s="26"/>
      <c r="G190" s="26"/>
      <c r="H190" s="26"/>
      <c r="I190" s="26"/>
      <c r="J190" s="26"/>
      <c r="K190" s="5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row>
    <row r="191" spans="1:34" ht="15.75" customHeight="1">
      <c r="A191" s="26"/>
      <c r="B191" s="26"/>
      <c r="C191" s="26"/>
      <c r="D191" s="26"/>
      <c r="E191" s="26"/>
      <c r="F191" s="26"/>
      <c r="G191" s="26"/>
      <c r="H191" s="26"/>
      <c r="I191" s="26"/>
      <c r="J191" s="26"/>
      <c r="K191" s="5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row>
    <row r="192" spans="1:34" ht="15.75" customHeight="1">
      <c r="A192" s="26"/>
      <c r="B192" s="26"/>
      <c r="C192" s="26"/>
      <c r="D192" s="26"/>
      <c r="E192" s="26"/>
      <c r="F192" s="26"/>
      <c r="G192" s="26"/>
      <c r="H192" s="26"/>
      <c r="I192" s="26"/>
      <c r="J192" s="26"/>
      <c r="K192" s="5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row>
    <row r="193" spans="1:34" ht="15.75" customHeight="1">
      <c r="A193" s="26"/>
      <c r="B193" s="26"/>
      <c r="C193" s="26"/>
      <c r="D193" s="26"/>
      <c r="E193" s="26"/>
      <c r="F193" s="26"/>
      <c r="G193" s="26"/>
      <c r="H193" s="26"/>
      <c r="I193" s="26"/>
      <c r="J193" s="26"/>
      <c r="K193" s="5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row>
    <row r="194" spans="1:34" ht="15.75" customHeight="1">
      <c r="A194" s="26"/>
      <c r="B194" s="26"/>
      <c r="C194" s="26"/>
      <c r="D194" s="26"/>
      <c r="E194" s="26"/>
      <c r="F194" s="26"/>
      <c r="G194" s="26"/>
      <c r="H194" s="26"/>
      <c r="I194" s="26"/>
      <c r="J194" s="26"/>
      <c r="K194" s="5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row>
    <row r="195" spans="1:34" ht="15.75" customHeight="1">
      <c r="A195" s="26"/>
      <c r="B195" s="26"/>
      <c r="C195" s="26"/>
      <c r="D195" s="26"/>
      <c r="E195" s="26"/>
      <c r="F195" s="26"/>
      <c r="G195" s="26"/>
      <c r="H195" s="26"/>
      <c r="I195" s="26"/>
      <c r="J195" s="26"/>
      <c r="K195" s="5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row>
    <row r="196" spans="1:34" ht="15.75" customHeight="1">
      <c r="A196" s="26"/>
      <c r="B196" s="26"/>
      <c r="C196" s="26"/>
      <c r="D196" s="26"/>
      <c r="E196" s="26"/>
      <c r="F196" s="26"/>
      <c r="G196" s="26"/>
      <c r="H196" s="26"/>
      <c r="I196" s="26"/>
      <c r="J196" s="26"/>
      <c r="K196" s="5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row>
    <row r="197" spans="1:34" ht="15.75" customHeight="1">
      <c r="A197" s="26"/>
      <c r="B197" s="26"/>
      <c r="C197" s="26"/>
      <c r="D197" s="26"/>
      <c r="E197" s="26"/>
      <c r="F197" s="26"/>
      <c r="G197" s="26"/>
      <c r="H197" s="26"/>
      <c r="I197" s="26"/>
      <c r="J197" s="26"/>
      <c r="K197" s="5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row>
    <row r="198" spans="1:34" ht="15.75" customHeight="1">
      <c r="A198" s="26"/>
      <c r="B198" s="26"/>
      <c r="C198" s="26"/>
      <c r="D198" s="26"/>
      <c r="E198" s="26"/>
      <c r="F198" s="26"/>
      <c r="G198" s="26"/>
      <c r="H198" s="26"/>
      <c r="I198" s="26"/>
      <c r="J198" s="26"/>
      <c r="K198" s="5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row>
    <row r="199" spans="1:34" ht="15.75" customHeight="1">
      <c r="A199" s="26"/>
      <c r="B199" s="26"/>
      <c r="C199" s="26"/>
      <c r="D199" s="26"/>
      <c r="E199" s="26"/>
      <c r="F199" s="26"/>
      <c r="G199" s="26"/>
      <c r="H199" s="26"/>
      <c r="I199" s="26"/>
      <c r="J199" s="26"/>
      <c r="K199" s="5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row>
    <row r="200" spans="1:34" ht="15.75" customHeight="1">
      <c r="A200" s="26"/>
      <c r="B200" s="26"/>
      <c r="C200" s="26"/>
      <c r="D200" s="26"/>
      <c r="E200" s="26"/>
      <c r="F200" s="26"/>
      <c r="G200" s="26"/>
      <c r="H200" s="26"/>
      <c r="I200" s="26"/>
      <c r="J200" s="26"/>
      <c r="K200" s="5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row>
    <row r="201" spans="1:34" ht="15.75" customHeight="1">
      <c r="A201" s="26"/>
      <c r="B201" s="26"/>
      <c r="C201" s="26"/>
      <c r="D201" s="26"/>
      <c r="E201" s="26"/>
      <c r="F201" s="26"/>
      <c r="G201" s="26"/>
      <c r="H201" s="26"/>
      <c r="I201" s="26"/>
      <c r="J201" s="26"/>
      <c r="K201" s="5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row>
    <row r="202" spans="1:34" ht="15.75" customHeight="1">
      <c r="A202" s="26"/>
      <c r="B202" s="26"/>
      <c r="C202" s="26"/>
      <c r="D202" s="26"/>
      <c r="E202" s="26"/>
      <c r="F202" s="26"/>
      <c r="G202" s="26"/>
      <c r="H202" s="26"/>
      <c r="I202" s="26"/>
      <c r="J202" s="26"/>
      <c r="K202" s="5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row>
    <row r="203" spans="1:34" ht="15.75" customHeight="1">
      <c r="A203" s="26"/>
      <c r="B203" s="26"/>
      <c r="C203" s="26"/>
      <c r="D203" s="26"/>
      <c r="E203" s="26"/>
      <c r="F203" s="26"/>
      <c r="G203" s="26"/>
      <c r="H203" s="26"/>
      <c r="I203" s="26"/>
      <c r="J203" s="26"/>
      <c r="K203" s="5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row>
    <row r="204" spans="1:34" ht="15.75" customHeight="1">
      <c r="A204" s="26"/>
      <c r="B204" s="26"/>
      <c r="C204" s="26"/>
      <c r="D204" s="26"/>
      <c r="E204" s="26"/>
      <c r="F204" s="26"/>
      <c r="G204" s="26"/>
      <c r="H204" s="26"/>
      <c r="I204" s="26"/>
      <c r="J204" s="26"/>
      <c r="K204" s="5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row>
    <row r="205" spans="1:34" ht="15.75" customHeight="1">
      <c r="A205" s="26"/>
      <c r="B205" s="26"/>
      <c r="C205" s="26"/>
      <c r="D205" s="26"/>
      <c r="E205" s="26"/>
      <c r="F205" s="26"/>
      <c r="G205" s="26"/>
      <c r="H205" s="26"/>
      <c r="I205" s="26"/>
      <c r="J205" s="26"/>
      <c r="K205" s="5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row>
    <row r="206" spans="1:34" ht="15.75" customHeight="1">
      <c r="A206" s="26"/>
      <c r="B206" s="26"/>
      <c r="C206" s="26"/>
      <c r="D206" s="26"/>
      <c r="E206" s="26"/>
      <c r="F206" s="26"/>
      <c r="G206" s="26"/>
      <c r="H206" s="26"/>
      <c r="I206" s="26"/>
      <c r="J206" s="26"/>
      <c r="K206" s="5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row>
    <row r="207" spans="1:34" ht="15.75" customHeight="1">
      <c r="A207" s="26"/>
      <c r="B207" s="26"/>
      <c r="C207" s="26"/>
      <c r="D207" s="26"/>
      <c r="E207" s="26"/>
      <c r="F207" s="26"/>
      <c r="G207" s="26"/>
      <c r="H207" s="26"/>
      <c r="I207" s="26"/>
      <c r="J207" s="26"/>
      <c r="K207" s="5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row>
    <row r="208" spans="1:34" ht="15.75" customHeight="1">
      <c r="A208" s="26"/>
      <c r="B208" s="26"/>
      <c r="C208" s="26"/>
      <c r="D208" s="26"/>
      <c r="E208" s="26"/>
      <c r="F208" s="26"/>
      <c r="G208" s="26"/>
      <c r="H208" s="26"/>
      <c r="I208" s="26"/>
      <c r="J208" s="26"/>
      <c r="K208" s="5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row>
    <row r="209" spans="1:34" ht="15.75" customHeight="1">
      <c r="A209" s="26"/>
      <c r="B209" s="26"/>
      <c r="C209" s="26"/>
      <c r="D209" s="26"/>
      <c r="E209" s="26"/>
      <c r="F209" s="26"/>
      <c r="G209" s="26"/>
      <c r="H209" s="26"/>
      <c r="I209" s="26"/>
      <c r="J209" s="26"/>
      <c r="K209" s="5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row>
    <row r="210" spans="1:34" ht="15.75" customHeight="1">
      <c r="A210" s="26"/>
      <c r="B210" s="26"/>
      <c r="C210" s="26"/>
      <c r="D210" s="26"/>
      <c r="E210" s="26"/>
      <c r="F210" s="26"/>
      <c r="G210" s="26"/>
      <c r="H210" s="26"/>
      <c r="I210" s="26"/>
      <c r="J210" s="26"/>
      <c r="K210" s="5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row>
    <row r="211" spans="1:34" ht="15.75" customHeight="1">
      <c r="A211" s="26"/>
      <c r="B211" s="26"/>
      <c r="C211" s="26"/>
      <c r="D211" s="26"/>
      <c r="E211" s="26"/>
      <c r="F211" s="26"/>
      <c r="G211" s="26"/>
      <c r="H211" s="26"/>
      <c r="I211" s="26"/>
      <c r="J211" s="26"/>
      <c r="K211" s="5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row>
    <row r="212" spans="1:34" ht="15.75" customHeight="1">
      <c r="A212" s="26"/>
      <c r="B212" s="26"/>
      <c r="C212" s="26"/>
      <c r="D212" s="26"/>
      <c r="E212" s="26"/>
      <c r="F212" s="26"/>
      <c r="G212" s="26"/>
      <c r="H212" s="26"/>
      <c r="I212" s="26"/>
      <c r="J212" s="26"/>
      <c r="K212" s="5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row>
    <row r="213" spans="1:34" ht="15.75" customHeight="1">
      <c r="A213" s="26"/>
      <c r="B213" s="26"/>
      <c r="C213" s="26"/>
      <c r="D213" s="26"/>
      <c r="E213" s="26"/>
      <c r="F213" s="26"/>
      <c r="G213" s="26"/>
      <c r="H213" s="26"/>
      <c r="I213" s="26"/>
      <c r="J213" s="26"/>
      <c r="K213" s="5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row>
    <row r="214" spans="1:34" ht="15.75" customHeight="1">
      <c r="A214" s="26"/>
      <c r="B214" s="26"/>
      <c r="C214" s="26"/>
      <c r="D214" s="26"/>
      <c r="E214" s="26"/>
      <c r="F214" s="26"/>
      <c r="G214" s="26"/>
      <c r="H214" s="26"/>
      <c r="I214" s="26"/>
      <c r="J214" s="26"/>
      <c r="K214" s="5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row>
    <row r="215" spans="1:34" ht="15.75" customHeight="1">
      <c r="A215" s="26"/>
      <c r="B215" s="26"/>
      <c r="C215" s="26"/>
      <c r="D215" s="26"/>
      <c r="E215" s="26"/>
      <c r="F215" s="26"/>
      <c r="G215" s="26"/>
      <c r="H215" s="26"/>
      <c r="I215" s="26"/>
      <c r="J215" s="26"/>
      <c r="K215" s="5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row>
    <row r="216" spans="1:34" ht="15.75" customHeight="1">
      <c r="A216" s="26"/>
      <c r="B216" s="26"/>
      <c r="C216" s="26"/>
      <c r="D216" s="26"/>
      <c r="E216" s="26"/>
      <c r="F216" s="26"/>
      <c r="G216" s="26"/>
      <c r="H216" s="26"/>
      <c r="I216" s="26"/>
      <c r="J216" s="26"/>
      <c r="K216" s="5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row>
    <row r="217" spans="1:34" ht="15.75" customHeight="1">
      <c r="A217" s="26"/>
      <c r="B217" s="26"/>
      <c r="C217" s="26"/>
      <c r="D217" s="26"/>
      <c r="E217" s="26"/>
      <c r="F217" s="26"/>
      <c r="G217" s="26"/>
      <c r="H217" s="26"/>
      <c r="I217" s="26"/>
      <c r="J217" s="26"/>
      <c r="K217" s="5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row>
    <row r="218" spans="1:34" ht="15.75" customHeight="1">
      <c r="A218" s="26"/>
      <c r="B218" s="26"/>
      <c r="C218" s="26"/>
      <c r="D218" s="26"/>
      <c r="E218" s="26"/>
      <c r="F218" s="26"/>
      <c r="G218" s="26"/>
      <c r="H218" s="26"/>
      <c r="I218" s="26"/>
      <c r="J218" s="26"/>
      <c r="K218" s="5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row>
    <row r="219" spans="1:34" ht="15.75" customHeight="1">
      <c r="A219" s="26"/>
      <c r="B219" s="26"/>
      <c r="C219" s="26"/>
      <c r="D219" s="26"/>
      <c r="E219" s="26"/>
      <c r="F219" s="26"/>
      <c r="G219" s="26"/>
      <c r="H219" s="26"/>
      <c r="I219" s="26"/>
      <c r="J219" s="26"/>
      <c r="K219" s="5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row>
    <row r="220" spans="1:34" ht="15.75" customHeight="1">
      <c r="A220" s="26"/>
      <c r="B220" s="26"/>
      <c r="C220" s="26"/>
      <c r="D220" s="26"/>
      <c r="E220" s="26"/>
      <c r="F220" s="26"/>
      <c r="G220" s="26"/>
      <c r="H220" s="26"/>
      <c r="I220" s="26"/>
      <c r="J220" s="26"/>
      <c r="K220" s="5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row>
    <row r="221" spans="1:34" ht="15.75" customHeight="1">
      <c r="A221" s="26"/>
      <c r="B221" s="26"/>
      <c r="C221" s="26"/>
      <c r="D221" s="26"/>
      <c r="E221" s="26"/>
      <c r="F221" s="26"/>
      <c r="G221" s="26"/>
      <c r="H221" s="26"/>
      <c r="I221" s="26"/>
      <c r="J221" s="26"/>
      <c r="K221" s="5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row>
    <row r="222" spans="1:34" ht="15.75" customHeight="1">
      <c r="A222" s="26"/>
      <c r="B222" s="26"/>
      <c r="C222" s="26"/>
      <c r="D222" s="26"/>
      <c r="E222" s="26"/>
      <c r="F222" s="26"/>
      <c r="G222" s="26"/>
      <c r="H222" s="26"/>
      <c r="I222" s="26"/>
      <c r="J222" s="26"/>
      <c r="K222" s="5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row>
    <row r="223" spans="1:34" ht="15.75" customHeight="1">
      <c r="A223" s="26"/>
      <c r="B223" s="26"/>
      <c r="C223" s="26"/>
      <c r="D223" s="26"/>
      <c r="E223" s="26"/>
      <c r="F223" s="26"/>
      <c r="G223" s="26"/>
      <c r="H223" s="26"/>
      <c r="I223" s="26"/>
      <c r="J223" s="26"/>
      <c r="K223" s="5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row>
    <row r="224" spans="1:34" ht="15.75" customHeight="1">
      <c r="A224" s="26"/>
      <c r="B224" s="26"/>
      <c r="C224" s="26"/>
      <c r="D224" s="26"/>
      <c r="E224" s="26"/>
      <c r="F224" s="26"/>
      <c r="G224" s="26"/>
      <c r="H224" s="26"/>
      <c r="I224" s="26"/>
      <c r="J224" s="26"/>
      <c r="K224" s="5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row>
    <row r="225" spans="1:34" ht="15.75" customHeight="1">
      <c r="A225" s="26"/>
      <c r="B225" s="26"/>
      <c r="C225" s="26"/>
      <c r="D225" s="26"/>
      <c r="E225" s="26"/>
      <c r="F225" s="26"/>
      <c r="G225" s="26"/>
      <c r="H225" s="26"/>
      <c r="I225" s="26"/>
      <c r="J225" s="26"/>
      <c r="K225" s="5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row>
    <row r="226" spans="1:34" ht="15.75" customHeight="1">
      <c r="A226" s="26"/>
      <c r="B226" s="26"/>
      <c r="C226" s="26"/>
      <c r="D226" s="26"/>
      <c r="E226" s="26"/>
      <c r="F226" s="26"/>
      <c r="G226" s="26"/>
      <c r="H226" s="26"/>
      <c r="I226" s="26"/>
      <c r="J226" s="26"/>
      <c r="K226" s="5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row>
    <row r="227" spans="1:34" ht="15.75" customHeight="1">
      <c r="A227" s="26"/>
      <c r="B227" s="26"/>
      <c r="C227" s="26"/>
      <c r="D227" s="26"/>
      <c r="E227" s="26"/>
      <c r="F227" s="26"/>
      <c r="G227" s="26"/>
      <c r="H227" s="26"/>
      <c r="I227" s="26"/>
      <c r="J227" s="26"/>
      <c r="K227" s="5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row>
    <row r="228" spans="1:34" ht="15.75" customHeight="1">
      <c r="A228" s="26"/>
      <c r="B228" s="26"/>
      <c r="C228" s="26"/>
      <c r="D228" s="26"/>
      <c r="E228" s="26"/>
      <c r="F228" s="26"/>
      <c r="G228" s="26"/>
      <c r="H228" s="26"/>
      <c r="I228" s="26"/>
      <c r="J228" s="26"/>
      <c r="K228" s="5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row>
    <row r="229" spans="1:34" ht="15.75" customHeight="1">
      <c r="A229" s="26"/>
      <c r="B229" s="26"/>
      <c r="C229" s="26"/>
      <c r="D229" s="26"/>
      <c r="E229" s="26"/>
      <c r="F229" s="26"/>
      <c r="G229" s="26"/>
      <c r="H229" s="26"/>
      <c r="I229" s="26"/>
      <c r="J229" s="26"/>
      <c r="K229" s="5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row>
    <row r="230" spans="1:34" ht="15.75" customHeight="1">
      <c r="A230" s="26"/>
      <c r="B230" s="26"/>
      <c r="C230" s="26"/>
      <c r="D230" s="26"/>
      <c r="E230" s="26"/>
      <c r="F230" s="26"/>
      <c r="G230" s="26"/>
      <c r="H230" s="26"/>
      <c r="I230" s="26"/>
      <c r="J230" s="26"/>
      <c r="K230" s="5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row>
    <row r="231" spans="1:34" ht="15.75" customHeight="1">
      <c r="A231" s="26"/>
      <c r="B231" s="26"/>
      <c r="C231" s="26"/>
      <c r="D231" s="26"/>
      <c r="E231" s="26"/>
      <c r="F231" s="26"/>
      <c r="G231" s="26"/>
      <c r="H231" s="26"/>
      <c r="I231" s="26"/>
      <c r="J231" s="26"/>
      <c r="K231" s="5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row>
    <row r="232" spans="1:34" ht="15.75" customHeight="1">
      <c r="A232" s="26"/>
      <c r="B232" s="26"/>
      <c r="C232" s="26"/>
      <c r="D232" s="26"/>
      <c r="E232" s="26"/>
      <c r="F232" s="26"/>
      <c r="G232" s="26"/>
      <c r="H232" s="26"/>
      <c r="I232" s="26"/>
      <c r="J232" s="26"/>
      <c r="K232" s="5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row>
    <row r="233" spans="1:34" ht="15.75" customHeight="1">
      <c r="A233" s="26"/>
      <c r="B233" s="26"/>
      <c r="C233" s="26"/>
      <c r="D233" s="26"/>
      <c r="E233" s="26"/>
      <c r="F233" s="26"/>
      <c r="G233" s="26"/>
      <c r="H233" s="26"/>
      <c r="I233" s="26"/>
      <c r="J233" s="26"/>
      <c r="K233" s="5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row>
    <row r="234" spans="1:34" ht="15.75" customHeight="1">
      <c r="A234" s="26"/>
      <c r="B234" s="26"/>
      <c r="C234" s="26"/>
      <c r="D234" s="26"/>
      <c r="E234" s="26"/>
      <c r="F234" s="26"/>
      <c r="G234" s="26"/>
      <c r="H234" s="26"/>
      <c r="I234" s="26"/>
      <c r="J234" s="26"/>
      <c r="K234" s="5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row>
    <row r="235" spans="1:34" ht="15.75" customHeight="1">
      <c r="A235" s="26"/>
      <c r="B235" s="26"/>
      <c r="C235" s="26"/>
      <c r="D235" s="26"/>
      <c r="E235" s="26"/>
      <c r="F235" s="26"/>
      <c r="G235" s="26"/>
      <c r="H235" s="26"/>
      <c r="I235" s="26"/>
      <c r="J235" s="26"/>
      <c r="K235" s="5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row>
    <row r="236" spans="1:34" ht="15.75" customHeight="1">
      <c r="A236" s="26"/>
      <c r="B236" s="26"/>
      <c r="C236" s="26"/>
      <c r="D236" s="26"/>
      <c r="E236" s="26"/>
      <c r="F236" s="26"/>
      <c r="G236" s="26"/>
      <c r="H236" s="26"/>
      <c r="I236" s="26"/>
      <c r="J236" s="26"/>
      <c r="K236" s="5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row>
    <row r="237" spans="1:34" ht="15.75" customHeight="1">
      <c r="A237" s="26"/>
      <c r="B237" s="26"/>
      <c r="C237" s="26"/>
      <c r="D237" s="26"/>
      <c r="E237" s="26"/>
      <c r="F237" s="26"/>
      <c r="G237" s="26"/>
      <c r="H237" s="26"/>
      <c r="I237" s="26"/>
      <c r="J237" s="26"/>
      <c r="K237" s="5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row>
    <row r="238" spans="1:34" ht="15.75" customHeight="1">
      <c r="A238" s="26"/>
      <c r="B238" s="26"/>
      <c r="C238" s="26"/>
      <c r="D238" s="26"/>
      <c r="E238" s="26"/>
      <c r="F238" s="26"/>
      <c r="G238" s="26"/>
      <c r="H238" s="26"/>
      <c r="I238" s="26"/>
      <c r="J238" s="26"/>
      <c r="K238" s="5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row>
    <row r="239" spans="1:34" ht="15.75" customHeight="1">
      <c r="A239" s="26"/>
      <c r="B239" s="26"/>
      <c r="C239" s="26"/>
      <c r="D239" s="26"/>
      <c r="E239" s="26"/>
      <c r="F239" s="26"/>
      <c r="G239" s="26"/>
      <c r="H239" s="26"/>
      <c r="I239" s="26"/>
      <c r="J239" s="26"/>
      <c r="K239" s="5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row>
    <row r="240" spans="1:34" ht="15.75" customHeight="1">
      <c r="A240" s="26"/>
      <c r="B240" s="26"/>
      <c r="C240" s="26"/>
      <c r="D240" s="26"/>
      <c r="E240" s="26"/>
      <c r="F240" s="26"/>
      <c r="G240" s="26"/>
      <c r="H240" s="26"/>
      <c r="I240" s="26"/>
      <c r="J240" s="26"/>
      <c r="K240" s="5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row>
    <row r="241" spans="1:34" ht="15.75" customHeight="1">
      <c r="A241" s="26"/>
      <c r="B241" s="26"/>
      <c r="C241" s="26"/>
      <c r="D241" s="26"/>
      <c r="E241" s="26"/>
      <c r="F241" s="26"/>
      <c r="G241" s="26"/>
      <c r="H241" s="26"/>
      <c r="I241" s="26"/>
      <c r="J241" s="26"/>
      <c r="K241" s="5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row>
    <row r="242" spans="1:34" ht="15.75" customHeight="1">
      <c r="A242" s="26"/>
      <c r="B242" s="26"/>
      <c r="C242" s="26"/>
      <c r="D242" s="26"/>
      <c r="E242" s="26"/>
      <c r="F242" s="26"/>
      <c r="G242" s="26"/>
      <c r="H242" s="26"/>
      <c r="I242" s="26"/>
      <c r="J242" s="26"/>
      <c r="K242" s="5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row>
    <row r="243" spans="1:34" ht="15.75" customHeight="1">
      <c r="A243" s="26"/>
      <c r="B243" s="26"/>
      <c r="C243" s="26"/>
      <c r="D243" s="26"/>
      <c r="E243" s="26"/>
      <c r="F243" s="26"/>
      <c r="G243" s="26"/>
      <c r="H243" s="26"/>
      <c r="I243" s="26"/>
      <c r="J243" s="26"/>
      <c r="K243" s="5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row>
    <row r="244" spans="1:34" ht="15.75" customHeight="1">
      <c r="A244" s="26"/>
      <c r="B244" s="26"/>
      <c r="C244" s="26"/>
      <c r="D244" s="26"/>
      <c r="E244" s="26"/>
      <c r="F244" s="26"/>
      <c r="G244" s="26"/>
      <c r="H244" s="26"/>
      <c r="I244" s="26"/>
      <c r="J244" s="26"/>
      <c r="K244" s="5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row>
    <row r="245" spans="1:34" ht="15.75" customHeight="1">
      <c r="A245" s="26"/>
      <c r="B245" s="26"/>
      <c r="C245" s="26"/>
      <c r="D245" s="26"/>
      <c r="E245" s="26"/>
      <c r="F245" s="26"/>
      <c r="G245" s="26"/>
      <c r="H245" s="26"/>
      <c r="I245" s="26"/>
      <c r="J245" s="26"/>
      <c r="K245" s="5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row>
    <row r="246" spans="1:34" ht="15.75" customHeight="1">
      <c r="A246" s="26"/>
      <c r="B246" s="26"/>
      <c r="C246" s="26"/>
      <c r="D246" s="26"/>
      <c r="E246" s="26"/>
      <c r="F246" s="26"/>
      <c r="G246" s="26"/>
      <c r="H246" s="26"/>
      <c r="I246" s="26"/>
      <c r="J246" s="26"/>
      <c r="K246" s="5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row>
    <row r="247" spans="1:34" ht="15.75" customHeight="1">
      <c r="A247" s="26"/>
      <c r="B247" s="26"/>
      <c r="C247" s="26"/>
      <c r="D247" s="26"/>
      <c r="E247" s="26"/>
      <c r="F247" s="26"/>
      <c r="G247" s="26"/>
      <c r="H247" s="26"/>
      <c r="I247" s="26"/>
      <c r="J247" s="26"/>
      <c r="K247" s="5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row>
    <row r="248" spans="1:34" ht="15.75" customHeight="1">
      <c r="A248" s="26"/>
      <c r="B248" s="26"/>
      <c r="C248" s="26"/>
      <c r="D248" s="26"/>
      <c r="E248" s="26"/>
      <c r="F248" s="26"/>
      <c r="G248" s="26"/>
      <c r="H248" s="26"/>
      <c r="I248" s="26"/>
      <c r="J248" s="26"/>
      <c r="K248" s="5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row>
    <row r="249" spans="1:34" ht="15.75" customHeight="1">
      <c r="A249" s="26"/>
      <c r="B249" s="26"/>
      <c r="C249" s="26"/>
      <c r="D249" s="26"/>
      <c r="E249" s="26"/>
      <c r="F249" s="26"/>
      <c r="G249" s="26"/>
      <c r="H249" s="26"/>
      <c r="I249" s="26"/>
      <c r="J249" s="26"/>
      <c r="K249" s="5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row>
    <row r="250" spans="1:34" ht="15.75" customHeight="1">
      <c r="A250" s="26"/>
      <c r="B250" s="26"/>
      <c r="C250" s="26"/>
      <c r="D250" s="26"/>
      <c r="E250" s="26"/>
      <c r="F250" s="26"/>
      <c r="G250" s="26"/>
      <c r="H250" s="26"/>
      <c r="I250" s="26"/>
      <c r="J250" s="26"/>
      <c r="K250" s="5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row>
    <row r="251" spans="1:34" ht="15.75" customHeight="1">
      <c r="A251" s="26"/>
      <c r="B251" s="26"/>
      <c r="C251" s="26"/>
      <c r="D251" s="26"/>
      <c r="E251" s="26"/>
      <c r="F251" s="26"/>
      <c r="G251" s="26"/>
      <c r="H251" s="26"/>
      <c r="I251" s="26"/>
      <c r="J251" s="26"/>
      <c r="K251" s="5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row>
    <row r="252" spans="1:34" ht="15.75" customHeight="1">
      <c r="A252" s="26"/>
      <c r="B252" s="26"/>
      <c r="C252" s="26"/>
      <c r="D252" s="26"/>
      <c r="E252" s="26"/>
      <c r="F252" s="26"/>
      <c r="G252" s="26"/>
      <c r="H252" s="26"/>
      <c r="I252" s="26"/>
      <c r="J252" s="26"/>
      <c r="K252" s="5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row>
    <row r="253" spans="1:34" ht="15.75" customHeight="1">
      <c r="A253" s="26"/>
      <c r="B253" s="26"/>
      <c r="C253" s="26"/>
      <c r="D253" s="26"/>
      <c r="E253" s="26"/>
      <c r="F253" s="26"/>
      <c r="G253" s="26"/>
      <c r="H253" s="26"/>
      <c r="I253" s="26"/>
      <c r="J253" s="26"/>
      <c r="K253" s="5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row>
    <row r="254" spans="1:34" ht="15.75" customHeight="1">
      <c r="A254" s="26"/>
      <c r="B254" s="26"/>
      <c r="C254" s="26"/>
      <c r="D254" s="26"/>
      <c r="E254" s="26"/>
      <c r="F254" s="26"/>
      <c r="G254" s="26"/>
      <c r="H254" s="26"/>
      <c r="I254" s="26"/>
      <c r="J254" s="26"/>
      <c r="K254" s="5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row>
    <row r="255" spans="1:34" ht="15.75" customHeight="1">
      <c r="A255" s="26"/>
      <c r="B255" s="26"/>
      <c r="C255" s="26"/>
      <c r="D255" s="26"/>
      <c r="E255" s="26"/>
      <c r="F255" s="26"/>
      <c r="G255" s="26"/>
      <c r="H255" s="26"/>
      <c r="I255" s="26"/>
      <c r="J255" s="26"/>
      <c r="K255" s="5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row>
    <row r="256" spans="1:34" ht="15.75" customHeight="1">
      <c r="A256" s="26"/>
      <c r="B256" s="26"/>
      <c r="C256" s="26"/>
      <c r="D256" s="26"/>
      <c r="E256" s="26"/>
      <c r="F256" s="26"/>
      <c r="G256" s="26"/>
      <c r="H256" s="26"/>
      <c r="I256" s="26"/>
      <c r="J256" s="26"/>
      <c r="K256" s="5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row>
    <row r="257" spans="1:34" ht="15.75" customHeight="1">
      <c r="A257" s="26"/>
      <c r="B257" s="26"/>
      <c r="C257" s="26"/>
      <c r="D257" s="26"/>
      <c r="E257" s="26"/>
      <c r="F257" s="26"/>
      <c r="G257" s="26"/>
      <c r="H257" s="26"/>
      <c r="I257" s="26"/>
      <c r="J257" s="26"/>
      <c r="K257" s="5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row>
    <row r="258" spans="1:34" ht="15.75" customHeight="1">
      <c r="A258" s="26"/>
      <c r="B258" s="26"/>
      <c r="C258" s="26"/>
      <c r="D258" s="26"/>
      <c r="E258" s="26"/>
      <c r="F258" s="26"/>
      <c r="G258" s="26"/>
      <c r="H258" s="26"/>
      <c r="I258" s="26"/>
      <c r="J258" s="26"/>
      <c r="K258" s="5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row>
    <row r="259" spans="1:34" ht="15.75" customHeight="1">
      <c r="A259" s="26"/>
      <c r="B259" s="26"/>
      <c r="C259" s="26"/>
      <c r="D259" s="26"/>
      <c r="E259" s="26"/>
      <c r="F259" s="26"/>
      <c r="G259" s="26"/>
      <c r="H259" s="26"/>
      <c r="I259" s="26"/>
      <c r="J259" s="26"/>
      <c r="K259" s="5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row>
    <row r="260" spans="1:34" ht="15.75" customHeight="1">
      <c r="A260" s="26"/>
      <c r="B260" s="26"/>
      <c r="C260" s="26"/>
      <c r="D260" s="26"/>
      <c r="E260" s="26"/>
      <c r="F260" s="26"/>
      <c r="G260" s="26"/>
      <c r="H260" s="26"/>
      <c r="I260" s="26"/>
      <c r="J260" s="26"/>
      <c r="K260" s="5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row>
    <row r="261" spans="1:34" ht="15.75" customHeight="1">
      <c r="A261" s="26"/>
      <c r="B261" s="26"/>
      <c r="C261" s="26"/>
      <c r="D261" s="26"/>
      <c r="E261" s="26"/>
      <c r="F261" s="26"/>
      <c r="G261" s="26"/>
      <c r="H261" s="26"/>
      <c r="I261" s="26"/>
      <c r="J261" s="26"/>
      <c r="K261" s="5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row>
    <row r="262" spans="1:34" ht="15.75" customHeight="1">
      <c r="A262" s="26"/>
      <c r="B262" s="26"/>
      <c r="C262" s="26"/>
      <c r="D262" s="26"/>
      <c r="E262" s="26"/>
      <c r="F262" s="26"/>
      <c r="G262" s="26"/>
      <c r="H262" s="26"/>
      <c r="I262" s="26"/>
      <c r="J262" s="26"/>
      <c r="K262" s="5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row>
    <row r="263" spans="1:34" ht="15.75" customHeight="1">
      <c r="A263" s="26"/>
      <c r="B263" s="26"/>
      <c r="C263" s="26"/>
      <c r="D263" s="26"/>
      <c r="E263" s="26"/>
      <c r="F263" s="26"/>
      <c r="G263" s="26"/>
      <c r="H263" s="26"/>
      <c r="I263" s="26"/>
      <c r="J263" s="26"/>
      <c r="K263" s="5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row>
    <row r="264" spans="1:34" ht="15.75" customHeight="1">
      <c r="A264" s="26"/>
      <c r="B264" s="26"/>
      <c r="C264" s="26"/>
      <c r="D264" s="26"/>
      <c r="E264" s="26"/>
      <c r="F264" s="26"/>
      <c r="G264" s="26"/>
      <c r="H264" s="26"/>
      <c r="I264" s="26"/>
      <c r="J264" s="26"/>
      <c r="K264" s="5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row>
    <row r="265" spans="1:34" ht="15.75" customHeight="1">
      <c r="A265" s="26"/>
      <c r="B265" s="26"/>
      <c r="C265" s="26"/>
      <c r="D265" s="26"/>
      <c r="E265" s="26"/>
      <c r="F265" s="26"/>
      <c r="G265" s="26"/>
      <c r="H265" s="26"/>
      <c r="I265" s="26"/>
      <c r="J265" s="26"/>
      <c r="K265" s="5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row>
    <row r="266" spans="1:34" ht="15.75" customHeight="1">
      <c r="A266" s="26"/>
      <c r="B266" s="26"/>
      <c r="C266" s="26"/>
      <c r="D266" s="26"/>
      <c r="E266" s="26"/>
      <c r="F266" s="26"/>
      <c r="G266" s="26"/>
      <c r="H266" s="26"/>
      <c r="I266" s="26"/>
      <c r="J266" s="26"/>
      <c r="K266" s="5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row>
    <row r="267" spans="1:34" ht="15.75" customHeight="1">
      <c r="A267" s="26"/>
      <c r="B267" s="26"/>
      <c r="C267" s="26"/>
      <c r="D267" s="26"/>
      <c r="E267" s="26"/>
      <c r="F267" s="26"/>
      <c r="G267" s="26"/>
      <c r="H267" s="26"/>
      <c r="I267" s="26"/>
      <c r="J267" s="26"/>
      <c r="K267" s="5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row>
    <row r="268" spans="1:34" ht="15.75" customHeight="1">
      <c r="A268" s="26"/>
      <c r="B268" s="26"/>
      <c r="C268" s="26"/>
      <c r="D268" s="26"/>
      <c r="E268" s="26"/>
      <c r="F268" s="26"/>
      <c r="G268" s="26"/>
      <c r="H268" s="26"/>
      <c r="I268" s="26"/>
      <c r="J268" s="26"/>
      <c r="K268" s="5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row>
    <row r="269" spans="1:34" ht="15.75" customHeight="1">
      <c r="A269" s="26"/>
      <c r="B269" s="26"/>
      <c r="C269" s="26"/>
      <c r="D269" s="26"/>
      <c r="E269" s="26"/>
      <c r="F269" s="26"/>
      <c r="G269" s="26"/>
      <c r="H269" s="26"/>
      <c r="I269" s="26"/>
      <c r="J269" s="26"/>
      <c r="K269" s="5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row>
    <row r="270" spans="1:34" ht="15.75" customHeight="1">
      <c r="A270" s="26"/>
      <c r="B270" s="26"/>
      <c r="C270" s="26"/>
      <c r="D270" s="26"/>
      <c r="E270" s="26"/>
      <c r="F270" s="26"/>
      <c r="G270" s="26"/>
      <c r="H270" s="26"/>
      <c r="I270" s="26"/>
      <c r="J270" s="26"/>
      <c r="K270" s="5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row>
    <row r="271" spans="1:34" ht="15.75" customHeight="1">
      <c r="A271" s="26"/>
      <c r="B271" s="26"/>
      <c r="C271" s="26"/>
      <c r="D271" s="26"/>
      <c r="E271" s="26"/>
      <c r="F271" s="26"/>
      <c r="G271" s="26"/>
      <c r="H271" s="26"/>
      <c r="I271" s="26"/>
      <c r="J271" s="26"/>
      <c r="K271" s="5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row>
    <row r="272" spans="1:34" ht="15.75" customHeight="1">
      <c r="A272" s="26"/>
      <c r="B272" s="26"/>
      <c r="C272" s="26"/>
      <c r="D272" s="26"/>
      <c r="E272" s="26"/>
      <c r="F272" s="26"/>
      <c r="G272" s="26"/>
      <c r="H272" s="26"/>
      <c r="I272" s="26"/>
      <c r="J272" s="26"/>
      <c r="K272" s="5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row>
    <row r="273" spans="1:34" ht="15.75" customHeight="1">
      <c r="A273" s="26"/>
      <c r="B273" s="26"/>
      <c r="C273" s="26"/>
      <c r="D273" s="26"/>
      <c r="E273" s="26"/>
      <c r="F273" s="26"/>
      <c r="G273" s="26"/>
      <c r="H273" s="26"/>
      <c r="I273" s="26"/>
      <c r="J273" s="26"/>
      <c r="K273" s="5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row>
    <row r="274" spans="1:34" ht="15.75" customHeight="1">
      <c r="A274" s="26"/>
      <c r="B274" s="26"/>
      <c r="C274" s="26"/>
      <c r="D274" s="26"/>
      <c r="E274" s="26"/>
      <c r="F274" s="26"/>
      <c r="G274" s="26"/>
      <c r="H274" s="26"/>
      <c r="I274" s="26"/>
      <c r="J274" s="26"/>
      <c r="K274" s="5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row>
    <row r="275" spans="1:34" ht="15.75" customHeight="1">
      <c r="A275" s="26"/>
      <c r="B275" s="26"/>
      <c r="C275" s="26"/>
      <c r="D275" s="26"/>
      <c r="E275" s="26"/>
      <c r="F275" s="26"/>
      <c r="G275" s="26"/>
      <c r="H275" s="26"/>
      <c r="I275" s="26"/>
      <c r="J275" s="26"/>
      <c r="K275" s="5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row>
    <row r="276" spans="1:34" ht="15.75" customHeight="1">
      <c r="A276" s="26"/>
      <c r="B276" s="26"/>
      <c r="C276" s="26"/>
      <c r="D276" s="26"/>
      <c r="E276" s="26"/>
      <c r="F276" s="26"/>
      <c r="G276" s="26"/>
      <c r="H276" s="26"/>
      <c r="I276" s="26"/>
      <c r="J276" s="26"/>
      <c r="K276" s="5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row>
    <row r="277" spans="1:34" ht="15.75" customHeight="1">
      <c r="A277" s="26"/>
      <c r="B277" s="26"/>
      <c r="C277" s="26"/>
      <c r="D277" s="26"/>
      <c r="E277" s="26"/>
      <c r="F277" s="26"/>
      <c r="G277" s="26"/>
      <c r="H277" s="26"/>
      <c r="I277" s="26"/>
      <c r="J277" s="26"/>
      <c r="K277" s="5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row>
    <row r="278" spans="1:34" ht="15.75" customHeight="1">
      <c r="A278" s="26"/>
      <c r="B278" s="26"/>
      <c r="C278" s="26"/>
      <c r="D278" s="26"/>
      <c r="E278" s="26"/>
      <c r="F278" s="26"/>
      <c r="G278" s="26"/>
      <c r="H278" s="26"/>
      <c r="I278" s="26"/>
      <c r="J278" s="26"/>
      <c r="K278" s="5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row>
    <row r="279" spans="1:34" ht="15.75" customHeight="1">
      <c r="A279" s="26"/>
      <c r="B279" s="26"/>
      <c r="C279" s="26"/>
      <c r="D279" s="26"/>
      <c r="E279" s="26"/>
      <c r="F279" s="26"/>
      <c r="G279" s="26"/>
      <c r="H279" s="26"/>
      <c r="I279" s="26"/>
      <c r="J279" s="26"/>
      <c r="K279" s="5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row>
    <row r="280" spans="1:34" ht="15.75" customHeight="1">
      <c r="A280" s="26"/>
      <c r="B280" s="26"/>
      <c r="C280" s="26"/>
      <c r="D280" s="26"/>
      <c r="E280" s="26"/>
      <c r="F280" s="26"/>
      <c r="G280" s="26"/>
      <c r="H280" s="26"/>
      <c r="I280" s="26"/>
      <c r="J280" s="26"/>
      <c r="K280" s="5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row>
    <row r="281" spans="1:34" ht="15.75" customHeight="1">
      <c r="A281" s="26"/>
      <c r="B281" s="26"/>
      <c r="C281" s="26"/>
      <c r="D281" s="26"/>
      <c r="E281" s="26"/>
      <c r="F281" s="26"/>
      <c r="G281" s="26"/>
      <c r="H281" s="26"/>
      <c r="I281" s="26"/>
      <c r="J281" s="26"/>
      <c r="K281" s="5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row>
    <row r="282" spans="1:34" ht="15.75" customHeight="1">
      <c r="A282" s="26"/>
      <c r="B282" s="26"/>
      <c r="C282" s="26"/>
      <c r="D282" s="26"/>
      <c r="E282" s="26"/>
      <c r="F282" s="26"/>
      <c r="G282" s="26"/>
      <c r="H282" s="26"/>
      <c r="I282" s="26"/>
      <c r="J282" s="26"/>
      <c r="K282" s="5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row>
    <row r="283" spans="1:34" ht="15.75" customHeight="1">
      <c r="A283" s="26"/>
      <c r="B283" s="26"/>
      <c r="C283" s="26"/>
      <c r="D283" s="26"/>
      <c r="E283" s="26"/>
      <c r="F283" s="26"/>
      <c r="G283" s="26"/>
      <c r="H283" s="26"/>
      <c r="I283" s="26"/>
      <c r="J283" s="26"/>
      <c r="K283" s="5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row>
    <row r="284" spans="1:34" ht="15.75" customHeight="1">
      <c r="A284" s="26"/>
      <c r="B284" s="26"/>
      <c r="C284" s="26"/>
      <c r="D284" s="26"/>
      <c r="E284" s="26"/>
      <c r="F284" s="26"/>
      <c r="G284" s="26"/>
      <c r="H284" s="26"/>
      <c r="I284" s="26"/>
      <c r="J284" s="26"/>
      <c r="K284" s="5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row>
    <row r="285" spans="1:34" ht="15.75" customHeight="1">
      <c r="A285" s="26"/>
      <c r="B285" s="26"/>
      <c r="C285" s="26"/>
      <c r="D285" s="26"/>
      <c r="E285" s="26"/>
      <c r="F285" s="26"/>
      <c r="G285" s="26"/>
      <c r="H285" s="26"/>
      <c r="I285" s="26"/>
      <c r="J285" s="26"/>
      <c r="K285" s="5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row>
    <row r="286" spans="1:34" ht="15.75" customHeight="1">
      <c r="A286" s="26"/>
      <c r="B286" s="26"/>
      <c r="C286" s="26"/>
      <c r="D286" s="26"/>
      <c r="E286" s="26"/>
      <c r="F286" s="26"/>
      <c r="G286" s="26"/>
      <c r="H286" s="26"/>
      <c r="I286" s="26"/>
      <c r="J286" s="26"/>
      <c r="K286" s="5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row>
    <row r="287" spans="1:34" ht="15.75" customHeight="1">
      <c r="A287" s="26"/>
      <c r="B287" s="26"/>
      <c r="C287" s="26"/>
      <c r="D287" s="26"/>
      <c r="E287" s="26"/>
      <c r="F287" s="26"/>
      <c r="G287" s="26"/>
      <c r="H287" s="26"/>
      <c r="I287" s="26"/>
      <c r="J287" s="26"/>
      <c r="K287" s="5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row>
    <row r="288" spans="1:34" ht="15.75" customHeight="1">
      <c r="A288" s="26"/>
      <c r="B288" s="26"/>
      <c r="C288" s="26"/>
      <c r="D288" s="26"/>
      <c r="E288" s="26"/>
      <c r="F288" s="26"/>
      <c r="G288" s="26"/>
      <c r="H288" s="26"/>
      <c r="I288" s="26"/>
      <c r="J288" s="26"/>
      <c r="K288" s="5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row>
    <row r="289" spans="1:34" ht="15.75" customHeight="1">
      <c r="A289" s="26"/>
      <c r="B289" s="26"/>
      <c r="C289" s="26"/>
      <c r="D289" s="26"/>
      <c r="E289" s="26"/>
      <c r="F289" s="26"/>
      <c r="G289" s="26"/>
      <c r="H289" s="26"/>
      <c r="I289" s="26"/>
      <c r="J289" s="26"/>
      <c r="K289" s="5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row>
    <row r="290" spans="1:34" ht="15.75" customHeight="1">
      <c r="A290" s="26"/>
      <c r="B290" s="26"/>
      <c r="C290" s="26"/>
      <c r="D290" s="26"/>
      <c r="E290" s="26"/>
      <c r="F290" s="26"/>
      <c r="G290" s="26"/>
      <c r="H290" s="26"/>
      <c r="I290" s="26"/>
      <c r="J290" s="26"/>
      <c r="K290" s="5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row>
    <row r="291" spans="1:34" ht="15.75" customHeight="1">
      <c r="A291" s="26"/>
      <c r="B291" s="26"/>
      <c r="C291" s="26"/>
      <c r="D291" s="26"/>
      <c r="E291" s="26"/>
      <c r="F291" s="26"/>
      <c r="G291" s="26"/>
      <c r="H291" s="26"/>
      <c r="I291" s="26"/>
      <c r="J291" s="26"/>
      <c r="K291" s="5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row>
    <row r="292" spans="1:34" ht="15.75" customHeight="1">
      <c r="A292" s="26"/>
      <c r="B292" s="26"/>
      <c r="C292" s="26"/>
      <c r="D292" s="26"/>
      <c r="E292" s="26"/>
      <c r="F292" s="26"/>
      <c r="G292" s="26"/>
      <c r="H292" s="26"/>
      <c r="I292" s="26"/>
      <c r="J292" s="26"/>
      <c r="K292" s="5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row>
    <row r="293" spans="1:34" ht="15.75" customHeight="1">
      <c r="A293" s="26"/>
      <c r="B293" s="26"/>
      <c r="C293" s="26"/>
      <c r="D293" s="26"/>
      <c r="E293" s="26"/>
      <c r="F293" s="26"/>
      <c r="G293" s="26"/>
      <c r="H293" s="26"/>
      <c r="I293" s="26"/>
      <c r="J293" s="26"/>
      <c r="K293" s="5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row>
    <row r="294" spans="1:34" ht="15.75" customHeight="1">
      <c r="A294" s="26"/>
      <c r="B294" s="26"/>
      <c r="C294" s="26"/>
      <c r="D294" s="26"/>
      <c r="E294" s="26"/>
      <c r="F294" s="26"/>
      <c r="G294" s="26"/>
      <c r="H294" s="26"/>
      <c r="I294" s="26"/>
      <c r="J294" s="26"/>
      <c r="K294" s="5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row>
    <row r="295" spans="1:34" ht="15.75" customHeight="1">
      <c r="A295" s="26"/>
      <c r="B295" s="26"/>
      <c r="C295" s="26"/>
      <c r="D295" s="26"/>
      <c r="E295" s="26"/>
      <c r="F295" s="26"/>
      <c r="G295" s="26"/>
      <c r="H295" s="26"/>
      <c r="I295" s="26"/>
      <c r="J295" s="26"/>
      <c r="K295" s="5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row>
    <row r="296" spans="1:34" ht="15.75" customHeight="1">
      <c r="A296" s="26"/>
      <c r="B296" s="26"/>
      <c r="C296" s="26"/>
      <c r="D296" s="26"/>
      <c r="E296" s="26"/>
      <c r="F296" s="26"/>
      <c r="G296" s="26"/>
      <c r="H296" s="26"/>
      <c r="I296" s="26"/>
      <c r="J296" s="26"/>
      <c r="K296" s="5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row>
    <row r="297" spans="1:34" ht="15.75" customHeight="1">
      <c r="A297" s="26"/>
      <c r="B297" s="26"/>
      <c r="C297" s="26"/>
      <c r="D297" s="26"/>
      <c r="E297" s="26"/>
      <c r="F297" s="26"/>
      <c r="G297" s="26"/>
      <c r="H297" s="26"/>
      <c r="I297" s="26"/>
      <c r="J297" s="26"/>
      <c r="K297" s="5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row>
    <row r="298" spans="1:34" ht="15.75" customHeight="1">
      <c r="A298" s="26"/>
      <c r="B298" s="26"/>
      <c r="C298" s="26"/>
      <c r="D298" s="26"/>
      <c r="E298" s="26"/>
      <c r="F298" s="26"/>
      <c r="G298" s="26"/>
      <c r="H298" s="26"/>
      <c r="I298" s="26"/>
      <c r="J298" s="26"/>
      <c r="K298" s="5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row>
    <row r="299" spans="1:34" ht="15.75" customHeight="1">
      <c r="A299" s="26"/>
      <c r="B299" s="26"/>
      <c r="C299" s="26"/>
      <c r="D299" s="26"/>
      <c r="E299" s="26"/>
      <c r="F299" s="26"/>
      <c r="G299" s="26"/>
      <c r="H299" s="26"/>
      <c r="I299" s="26"/>
      <c r="J299" s="26"/>
      <c r="K299" s="5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row>
    <row r="300" spans="1:34" ht="15.75" customHeight="1">
      <c r="A300" s="26"/>
      <c r="B300" s="26"/>
      <c r="C300" s="26"/>
      <c r="D300" s="26"/>
      <c r="E300" s="26"/>
      <c r="F300" s="26"/>
      <c r="G300" s="26"/>
      <c r="H300" s="26"/>
      <c r="I300" s="26"/>
      <c r="J300" s="26"/>
      <c r="K300" s="5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row>
    <row r="301" spans="1:34" ht="15.75" customHeight="1">
      <c r="A301" s="26"/>
      <c r="B301" s="26"/>
      <c r="C301" s="26"/>
      <c r="D301" s="26"/>
      <c r="E301" s="26"/>
      <c r="F301" s="26"/>
      <c r="G301" s="26"/>
      <c r="H301" s="26"/>
      <c r="I301" s="26"/>
      <c r="J301" s="26"/>
      <c r="K301" s="5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row>
    <row r="302" spans="1:34" ht="15.75" customHeight="1">
      <c r="A302" s="26"/>
      <c r="B302" s="26"/>
      <c r="C302" s="26"/>
      <c r="D302" s="26"/>
      <c r="E302" s="26"/>
      <c r="F302" s="26"/>
      <c r="G302" s="26"/>
      <c r="H302" s="26"/>
      <c r="I302" s="26"/>
      <c r="J302" s="26"/>
      <c r="K302" s="5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row>
    <row r="303" spans="1:34" ht="15.75" customHeight="1">
      <c r="A303" s="26"/>
      <c r="B303" s="26"/>
      <c r="C303" s="26"/>
      <c r="D303" s="26"/>
      <c r="E303" s="26"/>
      <c r="F303" s="26"/>
      <c r="G303" s="26"/>
      <c r="H303" s="26"/>
      <c r="I303" s="26"/>
      <c r="J303" s="26"/>
      <c r="K303" s="5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row>
    <row r="304" spans="1:34" ht="15.75" customHeight="1">
      <c r="A304" s="26"/>
      <c r="B304" s="26"/>
      <c r="C304" s="26"/>
      <c r="D304" s="26"/>
      <c r="E304" s="26"/>
      <c r="F304" s="26"/>
      <c r="G304" s="26"/>
      <c r="H304" s="26"/>
      <c r="I304" s="26"/>
      <c r="J304" s="26"/>
      <c r="K304" s="5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row>
    <row r="305" spans="1:34" ht="15.75" customHeight="1">
      <c r="A305" s="26"/>
      <c r="B305" s="26"/>
      <c r="C305" s="26"/>
      <c r="D305" s="26"/>
      <c r="E305" s="26"/>
      <c r="F305" s="26"/>
      <c r="G305" s="26"/>
      <c r="H305" s="26"/>
      <c r="I305" s="26"/>
      <c r="J305" s="26"/>
      <c r="K305" s="5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row>
    <row r="306" spans="1:34" ht="15.75" customHeight="1">
      <c r="A306" s="26"/>
      <c r="B306" s="26"/>
      <c r="C306" s="26"/>
      <c r="D306" s="26"/>
      <c r="E306" s="26"/>
      <c r="F306" s="26"/>
      <c r="G306" s="26"/>
      <c r="H306" s="26"/>
      <c r="I306" s="26"/>
      <c r="J306" s="26"/>
      <c r="K306" s="5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row>
    <row r="307" spans="1:34" ht="15.75" customHeight="1">
      <c r="A307" s="26"/>
      <c r="B307" s="26"/>
      <c r="C307" s="26"/>
      <c r="D307" s="26"/>
      <c r="E307" s="26"/>
      <c r="F307" s="26"/>
      <c r="G307" s="26"/>
      <c r="H307" s="26"/>
      <c r="I307" s="26"/>
      <c r="J307" s="26"/>
      <c r="K307" s="5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row>
    <row r="308" spans="1:34" ht="15.75" customHeight="1">
      <c r="A308" s="26"/>
      <c r="B308" s="26"/>
      <c r="C308" s="26"/>
      <c r="D308" s="26"/>
      <c r="E308" s="26"/>
      <c r="F308" s="26"/>
      <c r="G308" s="26"/>
      <c r="H308" s="26"/>
      <c r="I308" s="26"/>
      <c r="J308" s="26"/>
      <c r="K308" s="5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row>
    <row r="309" spans="1:34" ht="15.75" customHeight="1">
      <c r="A309" s="26"/>
      <c r="B309" s="26"/>
      <c r="C309" s="26"/>
      <c r="D309" s="26"/>
      <c r="E309" s="26"/>
      <c r="F309" s="26"/>
      <c r="G309" s="26"/>
      <c r="H309" s="26"/>
      <c r="I309" s="26"/>
      <c r="J309" s="26"/>
      <c r="K309" s="5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row>
    <row r="310" spans="1:34" ht="15.75" customHeight="1">
      <c r="A310" s="26"/>
      <c r="B310" s="26"/>
      <c r="C310" s="26"/>
      <c r="D310" s="26"/>
      <c r="E310" s="26"/>
      <c r="F310" s="26"/>
      <c r="G310" s="26"/>
      <c r="H310" s="26"/>
      <c r="I310" s="26"/>
      <c r="J310" s="26"/>
      <c r="K310" s="5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row>
    <row r="311" spans="1:34" ht="15.75" customHeight="1">
      <c r="A311" s="26"/>
      <c r="B311" s="26"/>
      <c r="C311" s="26"/>
      <c r="D311" s="26"/>
      <c r="E311" s="26"/>
      <c r="F311" s="26"/>
      <c r="G311" s="26"/>
      <c r="H311" s="26"/>
      <c r="I311" s="26"/>
      <c r="J311" s="26"/>
      <c r="K311" s="5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row>
    <row r="312" spans="1:34" ht="15.75" customHeight="1">
      <c r="A312" s="26"/>
      <c r="B312" s="26"/>
      <c r="C312" s="26"/>
      <c r="D312" s="26"/>
      <c r="E312" s="26"/>
      <c r="F312" s="26"/>
      <c r="G312" s="26"/>
      <c r="H312" s="26"/>
      <c r="I312" s="26"/>
      <c r="J312" s="26"/>
      <c r="K312" s="5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row>
    <row r="313" spans="1:34" ht="15.75" customHeight="1">
      <c r="A313" s="26"/>
      <c r="B313" s="26"/>
      <c r="C313" s="26"/>
      <c r="D313" s="26"/>
      <c r="E313" s="26"/>
      <c r="F313" s="26"/>
      <c r="G313" s="26"/>
      <c r="H313" s="26"/>
      <c r="I313" s="26"/>
      <c r="J313" s="26"/>
      <c r="K313" s="5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row>
    <row r="314" spans="1:34" ht="15.75" customHeight="1">
      <c r="A314" s="26"/>
      <c r="B314" s="26"/>
      <c r="C314" s="26"/>
      <c r="D314" s="26"/>
      <c r="E314" s="26"/>
      <c r="F314" s="26"/>
      <c r="G314" s="26"/>
      <c r="H314" s="26"/>
      <c r="I314" s="26"/>
      <c r="J314" s="26"/>
      <c r="K314" s="5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row>
    <row r="315" spans="1:34" ht="15.75" customHeight="1">
      <c r="A315" s="26"/>
      <c r="B315" s="26"/>
      <c r="C315" s="26"/>
      <c r="D315" s="26"/>
      <c r="E315" s="26"/>
      <c r="F315" s="26"/>
      <c r="G315" s="26"/>
      <c r="H315" s="26"/>
      <c r="I315" s="26"/>
      <c r="J315" s="26"/>
      <c r="K315" s="5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row>
    <row r="316" spans="1:34" ht="15.75" customHeight="1">
      <c r="A316" s="26"/>
      <c r="B316" s="26"/>
      <c r="C316" s="26"/>
      <c r="D316" s="26"/>
      <c r="E316" s="26"/>
      <c r="F316" s="26"/>
      <c r="G316" s="26"/>
      <c r="H316" s="26"/>
      <c r="I316" s="26"/>
      <c r="J316" s="26"/>
      <c r="K316" s="5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row>
    <row r="317" spans="1:34" ht="15.75" customHeight="1">
      <c r="A317" s="26"/>
      <c r="B317" s="26"/>
      <c r="C317" s="26"/>
      <c r="D317" s="26"/>
      <c r="E317" s="26"/>
      <c r="F317" s="26"/>
      <c r="G317" s="26"/>
      <c r="H317" s="26"/>
      <c r="I317" s="26"/>
      <c r="J317" s="26"/>
      <c r="K317" s="5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row>
    <row r="318" spans="1:34" ht="15.75" customHeight="1">
      <c r="A318" s="26"/>
      <c r="B318" s="26"/>
      <c r="C318" s="26"/>
      <c r="D318" s="26"/>
      <c r="E318" s="26"/>
      <c r="F318" s="26"/>
      <c r="G318" s="26"/>
      <c r="H318" s="26"/>
      <c r="I318" s="26"/>
      <c r="J318" s="26"/>
      <c r="K318" s="5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row>
    <row r="319" spans="1:34" ht="15.75" customHeight="1">
      <c r="A319" s="26"/>
      <c r="B319" s="26"/>
      <c r="C319" s="26"/>
      <c r="D319" s="26"/>
      <c r="E319" s="26"/>
      <c r="F319" s="26"/>
      <c r="G319" s="26"/>
      <c r="H319" s="26"/>
      <c r="I319" s="26"/>
      <c r="J319" s="26"/>
      <c r="K319" s="5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row>
    <row r="320" spans="1:34" ht="15.75" customHeight="1">
      <c r="A320" s="26"/>
      <c r="B320" s="26"/>
      <c r="C320" s="26"/>
      <c r="D320" s="26"/>
      <c r="E320" s="26"/>
      <c r="F320" s="26"/>
      <c r="G320" s="26"/>
      <c r="H320" s="26"/>
      <c r="I320" s="26"/>
      <c r="J320" s="26"/>
      <c r="K320" s="5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row>
    <row r="321" spans="1:34" ht="15.75" customHeight="1">
      <c r="A321" s="26"/>
      <c r="B321" s="26"/>
      <c r="C321" s="26"/>
      <c r="D321" s="26"/>
      <c r="E321" s="26"/>
      <c r="F321" s="26"/>
      <c r="G321" s="26"/>
      <c r="H321" s="26"/>
      <c r="I321" s="26"/>
      <c r="J321" s="26"/>
      <c r="K321" s="5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row>
    <row r="322" spans="1:34" ht="15.75" customHeight="1">
      <c r="A322" s="26"/>
      <c r="B322" s="26"/>
      <c r="C322" s="26"/>
      <c r="D322" s="26"/>
      <c r="E322" s="26"/>
      <c r="F322" s="26"/>
      <c r="G322" s="26"/>
      <c r="H322" s="26"/>
      <c r="I322" s="26"/>
      <c r="J322" s="26"/>
      <c r="K322" s="5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row>
    <row r="323" spans="1:34" ht="15.75" customHeight="1">
      <c r="A323" s="26"/>
      <c r="B323" s="26"/>
      <c r="C323" s="26"/>
      <c r="D323" s="26"/>
      <c r="E323" s="26"/>
      <c r="F323" s="26"/>
      <c r="G323" s="26"/>
      <c r="H323" s="26"/>
      <c r="I323" s="26"/>
      <c r="J323" s="26"/>
      <c r="K323" s="5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row>
    <row r="324" spans="1:34" ht="15.75" customHeight="1">
      <c r="A324" s="26"/>
      <c r="B324" s="26"/>
      <c r="C324" s="26"/>
      <c r="D324" s="26"/>
      <c r="E324" s="26"/>
      <c r="F324" s="26"/>
      <c r="G324" s="26"/>
      <c r="H324" s="26"/>
      <c r="I324" s="26"/>
      <c r="J324" s="26"/>
      <c r="K324" s="5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row>
    <row r="325" spans="1:34" ht="15.75" customHeight="1">
      <c r="A325" s="26"/>
      <c r="B325" s="26"/>
      <c r="C325" s="26"/>
      <c r="D325" s="26"/>
      <c r="E325" s="26"/>
      <c r="F325" s="26"/>
      <c r="G325" s="26"/>
      <c r="H325" s="26"/>
      <c r="I325" s="26"/>
      <c r="J325" s="26"/>
      <c r="K325" s="5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row>
    <row r="326" spans="1:34" ht="15.75" customHeight="1">
      <c r="A326" s="26"/>
      <c r="B326" s="26"/>
      <c r="C326" s="26"/>
      <c r="D326" s="26"/>
      <c r="E326" s="26"/>
      <c r="F326" s="26"/>
      <c r="G326" s="26"/>
      <c r="H326" s="26"/>
      <c r="I326" s="26"/>
      <c r="J326" s="26"/>
      <c r="K326" s="5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row>
    <row r="327" spans="1:34" ht="15.75" customHeight="1">
      <c r="A327" s="26"/>
      <c r="B327" s="26"/>
      <c r="C327" s="26"/>
      <c r="D327" s="26"/>
      <c r="E327" s="26"/>
      <c r="F327" s="26"/>
      <c r="G327" s="26"/>
      <c r="H327" s="26"/>
      <c r="I327" s="26"/>
      <c r="J327" s="26"/>
      <c r="K327" s="5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row>
    <row r="328" spans="1:34" ht="15.75" customHeight="1">
      <c r="A328" s="26"/>
      <c r="B328" s="26"/>
      <c r="C328" s="26"/>
      <c r="D328" s="26"/>
      <c r="E328" s="26"/>
      <c r="F328" s="26"/>
      <c r="G328" s="26"/>
      <c r="H328" s="26"/>
      <c r="I328" s="26"/>
      <c r="J328" s="26"/>
      <c r="K328" s="5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row>
    <row r="329" spans="1:34" ht="15.75" customHeight="1">
      <c r="A329" s="26"/>
      <c r="B329" s="26"/>
      <c r="C329" s="26"/>
      <c r="D329" s="26"/>
      <c r="E329" s="26"/>
      <c r="F329" s="26"/>
      <c r="G329" s="26"/>
      <c r="H329" s="26"/>
      <c r="I329" s="26"/>
      <c r="J329" s="26"/>
      <c r="K329" s="5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row>
    <row r="330" spans="1:34" ht="15.75" customHeight="1">
      <c r="A330" s="26"/>
      <c r="B330" s="26"/>
      <c r="C330" s="26"/>
      <c r="D330" s="26"/>
      <c r="E330" s="26"/>
      <c r="F330" s="26"/>
      <c r="G330" s="26"/>
      <c r="H330" s="26"/>
      <c r="I330" s="26"/>
      <c r="J330" s="26"/>
      <c r="K330" s="5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row>
    <row r="331" spans="1:34" ht="15.75" customHeight="1">
      <c r="A331" s="26"/>
      <c r="B331" s="26"/>
      <c r="C331" s="26"/>
      <c r="D331" s="26"/>
      <c r="E331" s="26"/>
      <c r="F331" s="26"/>
      <c r="G331" s="26"/>
      <c r="H331" s="26"/>
      <c r="I331" s="26"/>
      <c r="J331" s="26"/>
      <c r="K331" s="5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row>
    <row r="332" spans="1:34" ht="15.75" customHeight="1">
      <c r="A332" s="26"/>
      <c r="B332" s="26"/>
      <c r="C332" s="26"/>
      <c r="D332" s="26"/>
      <c r="E332" s="26"/>
      <c r="F332" s="26"/>
      <c r="G332" s="26"/>
      <c r="H332" s="26"/>
      <c r="I332" s="26"/>
      <c r="J332" s="26"/>
      <c r="K332" s="5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row>
    <row r="333" spans="1:34" ht="15.75" customHeight="1">
      <c r="A333" s="26"/>
      <c r="B333" s="26"/>
      <c r="C333" s="26"/>
      <c r="D333" s="26"/>
      <c r="E333" s="26"/>
      <c r="F333" s="26"/>
      <c r="G333" s="26"/>
      <c r="H333" s="26"/>
      <c r="I333" s="26"/>
      <c r="J333" s="26"/>
      <c r="K333" s="5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row>
    <row r="334" spans="1:34" ht="15.75" customHeight="1">
      <c r="A334" s="26"/>
      <c r="B334" s="26"/>
      <c r="C334" s="26"/>
      <c r="D334" s="26"/>
      <c r="E334" s="26"/>
      <c r="F334" s="26"/>
      <c r="G334" s="26"/>
      <c r="H334" s="26"/>
      <c r="I334" s="26"/>
      <c r="J334" s="26"/>
      <c r="K334" s="5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row>
    <row r="335" spans="1:34" ht="15.75" customHeight="1">
      <c r="A335" s="26"/>
      <c r="B335" s="26"/>
      <c r="C335" s="26"/>
      <c r="D335" s="26"/>
      <c r="E335" s="26"/>
      <c r="F335" s="26"/>
      <c r="G335" s="26"/>
      <c r="H335" s="26"/>
      <c r="I335" s="26"/>
      <c r="J335" s="26"/>
      <c r="K335" s="5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row>
    <row r="336" spans="1:34" ht="15.75" customHeight="1">
      <c r="A336" s="26"/>
      <c r="B336" s="26"/>
      <c r="C336" s="26"/>
      <c r="D336" s="26"/>
      <c r="E336" s="26"/>
      <c r="F336" s="26"/>
      <c r="G336" s="26"/>
      <c r="H336" s="26"/>
      <c r="I336" s="26"/>
      <c r="J336" s="26"/>
      <c r="K336" s="5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row>
    <row r="337" spans="1:34" ht="15.75" customHeight="1">
      <c r="A337" s="26"/>
      <c r="B337" s="26"/>
      <c r="C337" s="26"/>
      <c r="D337" s="26"/>
      <c r="E337" s="26"/>
      <c r="F337" s="26"/>
      <c r="G337" s="26"/>
      <c r="H337" s="26"/>
      <c r="I337" s="26"/>
      <c r="J337" s="26"/>
      <c r="K337" s="5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row>
    <row r="338" spans="1:34" ht="15.75" customHeight="1">
      <c r="A338" s="26"/>
      <c r="B338" s="26"/>
      <c r="C338" s="26"/>
      <c r="D338" s="26"/>
      <c r="E338" s="26"/>
      <c r="F338" s="26"/>
      <c r="G338" s="26"/>
      <c r="H338" s="26"/>
      <c r="I338" s="26"/>
      <c r="J338" s="26"/>
      <c r="K338" s="5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row>
    <row r="339" spans="1:34" ht="15.75" customHeight="1">
      <c r="A339" s="26"/>
      <c r="B339" s="26"/>
      <c r="C339" s="26"/>
      <c r="D339" s="26"/>
      <c r="E339" s="26"/>
      <c r="F339" s="26"/>
      <c r="G339" s="26"/>
      <c r="H339" s="26"/>
      <c r="I339" s="26"/>
      <c r="J339" s="26"/>
      <c r="K339" s="5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row>
    <row r="340" spans="1:34" ht="15.75" customHeight="1">
      <c r="A340" s="26"/>
      <c r="B340" s="26"/>
      <c r="C340" s="26"/>
      <c r="D340" s="26"/>
      <c r="E340" s="26"/>
      <c r="F340" s="26"/>
      <c r="G340" s="26"/>
      <c r="H340" s="26"/>
      <c r="I340" s="26"/>
      <c r="J340" s="26"/>
      <c r="K340" s="5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row>
    <row r="341" spans="1:34" ht="15.75" customHeight="1">
      <c r="A341" s="26"/>
      <c r="B341" s="26"/>
      <c r="C341" s="26"/>
      <c r="D341" s="26"/>
      <c r="E341" s="26"/>
      <c r="F341" s="26"/>
      <c r="G341" s="26"/>
      <c r="H341" s="26"/>
      <c r="I341" s="26"/>
      <c r="J341" s="26"/>
      <c r="K341" s="5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row>
    <row r="342" spans="1:34" ht="15.75" customHeight="1">
      <c r="A342" s="26"/>
      <c r="B342" s="26"/>
      <c r="C342" s="26"/>
      <c r="D342" s="26"/>
      <c r="E342" s="26"/>
      <c r="F342" s="26"/>
      <c r="G342" s="26"/>
      <c r="H342" s="26"/>
      <c r="I342" s="26"/>
      <c r="J342" s="26"/>
      <c r="K342" s="5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row>
    <row r="343" spans="1:34" ht="15.75" customHeight="1">
      <c r="A343" s="26"/>
      <c r="B343" s="26"/>
      <c r="C343" s="26"/>
      <c r="D343" s="26"/>
      <c r="E343" s="26"/>
      <c r="F343" s="26"/>
      <c r="G343" s="26"/>
      <c r="H343" s="26"/>
      <c r="I343" s="26"/>
      <c r="J343" s="26"/>
      <c r="K343" s="5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row>
    <row r="344" spans="1:34" ht="15.75" customHeight="1">
      <c r="A344" s="26"/>
      <c r="B344" s="26"/>
      <c r="C344" s="26"/>
      <c r="D344" s="26"/>
      <c r="E344" s="26"/>
      <c r="F344" s="26"/>
      <c r="G344" s="26"/>
      <c r="H344" s="26"/>
      <c r="I344" s="26"/>
      <c r="J344" s="26"/>
      <c r="K344" s="5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row>
    <row r="345" spans="1:34" ht="15.75" customHeight="1">
      <c r="A345" s="26"/>
      <c r="B345" s="26"/>
      <c r="C345" s="26"/>
      <c r="D345" s="26"/>
      <c r="E345" s="26"/>
      <c r="F345" s="26"/>
      <c r="G345" s="26"/>
      <c r="H345" s="26"/>
      <c r="I345" s="26"/>
      <c r="J345" s="26"/>
      <c r="K345" s="5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row>
    <row r="346" spans="1:34" ht="15.75" customHeight="1">
      <c r="A346" s="26"/>
      <c r="B346" s="26"/>
      <c r="C346" s="26"/>
      <c r="D346" s="26"/>
      <c r="E346" s="26"/>
      <c r="F346" s="26"/>
      <c r="G346" s="26"/>
      <c r="H346" s="26"/>
      <c r="I346" s="26"/>
      <c r="J346" s="26"/>
      <c r="K346" s="5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row>
    <row r="347" spans="1:34" ht="15.75" customHeight="1">
      <c r="A347" s="26"/>
      <c r="B347" s="26"/>
      <c r="C347" s="26"/>
      <c r="D347" s="26"/>
      <c r="E347" s="26"/>
      <c r="F347" s="26"/>
      <c r="G347" s="26"/>
      <c r="H347" s="26"/>
      <c r="I347" s="26"/>
      <c r="J347" s="26"/>
      <c r="K347" s="5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row>
    <row r="348" spans="1:34" ht="15.75" customHeight="1">
      <c r="A348" s="26"/>
      <c r="B348" s="26"/>
      <c r="C348" s="26"/>
      <c r="D348" s="26"/>
      <c r="E348" s="26"/>
      <c r="F348" s="26"/>
      <c r="G348" s="26"/>
      <c r="H348" s="26"/>
      <c r="I348" s="26"/>
      <c r="J348" s="26"/>
      <c r="K348" s="5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row>
    <row r="349" spans="1:34" ht="15.75" customHeight="1">
      <c r="A349" s="26"/>
      <c r="B349" s="26"/>
      <c r="C349" s="26"/>
      <c r="D349" s="26"/>
      <c r="E349" s="26"/>
      <c r="F349" s="26"/>
      <c r="G349" s="26"/>
      <c r="H349" s="26"/>
      <c r="I349" s="26"/>
      <c r="J349" s="26"/>
      <c r="K349" s="5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row>
    <row r="350" spans="1:34" ht="15.75" customHeight="1">
      <c r="A350" s="26"/>
      <c r="B350" s="26"/>
      <c r="C350" s="26"/>
      <c r="D350" s="26"/>
      <c r="E350" s="26"/>
      <c r="F350" s="26"/>
      <c r="G350" s="26"/>
      <c r="H350" s="26"/>
      <c r="I350" s="26"/>
      <c r="J350" s="26"/>
      <c r="K350" s="5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row>
    <row r="351" spans="1:34" ht="15.75" customHeight="1">
      <c r="A351" s="26"/>
      <c r="B351" s="26"/>
      <c r="C351" s="26"/>
      <c r="D351" s="26"/>
      <c r="E351" s="26"/>
      <c r="F351" s="26"/>
      <c r="G351" s="26"/>
      <c r="H351" s="26"/>
      <c r="I351" s="26"/>
      <c r="J351" s="26"/>
      <c r="K351" s="5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row>
    <row r="352" spans="1:34" ht="15.75" customHeight="1">
      <c r="A352" s="26"/>
      <c r="B352" s="26"/>
      <c r="C352" s="26"/>
      <c r="D352" s="26"/>
      <c r="E352" s="26"/>
      <c r="F352" s="26"/>
      <c r="G352" s="26"/>
      <c r="H352" s="26"/>
      <c r="I352" s="26"/>
      <c r="J352" s="26"/>
      <c r="K352" s="5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row>
    <row r="353" spans="1:34" ht="15.75" customHeight="1">
      <c r="A353" s="26"/>
      <c r="B353" s="26"/>
      <c r="C353" s="26"/>
      <c r="D353" s="26"/>
      <c r="E353" s="26"/>
      <c r="F353" s="26"/>
      <c r="G353" s="26"/>
      <c r="H353" s="26"/>
      <c r="I353" s="26"/>
      <c r="J353" s="26"/>
      <c r="K353" s="5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row>
    <row r="354" spans="1:34" ht="15.75" customHeight="1">
      <c r="A354" s="26"/>
      <c r="B354" s="26"/>
      <c r="C354" s="26"/>
      <c r="D354" s="26"/>
      <c r="E354" s="26"/>
      <c r="F354" s="26"/>
      <c r="G354" s="26"/>
      <c r="H354" s="26"/>
      <c r="I354" s="26"/>
      <c r="J354" s="26"/>
      <c r="K354" s="5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row>
    <row r="355" spans="1:34" ht="15.75" customHeight="1">
      <c r="A355" s="26"/>
      <c r="B355" s="26"/>
      <c r="C355" s="26"/>
      <c r="D355" s="26"/>
      <c r="E355" s="26"/>
      <c r="F355" s="26"/>
      <c r="G355" s="26"/>
      <c r="H355" s="26"/>
      <c r="I355" s="26"/>
      <c r="J355" s="26"/>
      <c r="K355" s="5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row>
    <row r="356" spans="1:34" ht="15.75" customHeight="1">
      <c r="A356" s="26"/>
      <c r="B356" s="26"/>
      <c r="C356" s="26"/>
      <c r="D356" s="26"/>
      <c r="E356" s="26"/>
      <c r="F356" s="26"/>
      <c r="G356" s="26"/>
      <c r="H356" s="26"/>
      <c r="I356" s="26"/>
      <c r="J356" s="26"/>
      <c r="K356" s="5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row>
    <row r="357" spans="1:34" ht="15.75" customHeight="1">
      <c r="A357" s="26"/>
      <c r="B357" s="26"/>
      <c r="C357" s="26"/>
      <c r="D357" s="26"/>
      <c r="E357" s="26"/>
      <c r="F357" s="26"/>
      <c r="G357" s="26"/>
      <c r="H357" s="26"/>
      <c r="I357" s="26"/>
      <c r="J357" s="26"/>
      <c r="K357" s="5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row>
    <row r="358" spans="1:34" ht="15.75" customHeight="1">
      <c r="A358" s="26"/>
      <c r="B358" s="26"/>
      <c r="C358" s="26"/>
      <c r="D358" s="26"/>
      <c r="E358" s="26"/>
      <c r="F358" s="26"/>
      <c r="G358" s="26"/>
      <c r="H358" s="26"/>
      <c r="I358" s="26"/>
      <c r="J358" s="26"/>
      <c r="K358" s="5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row>
    <row r="359" spans="1:34" ht="15.75" customHeight="1">
      <c r="A359" s="26"/>
      <c r="B359" s="26"/>
      <c r="C359" s="26"/>
      <c r="D359" s="26"/>
      <c r="E359" s="26"/>
      <c r="F359" s="26"/>
      <c r="G359" s="26"/>
      <c r="H359" s="26"/>
      <c r="I359" s="26"/>
      <c r="J359" s="26"/>
      <c r="K359" s="5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row>
    <row r="360" spans="1:34" ht="15.75" customHeight="1">
      <c r="A360" s="26"/>
      <c r="B360" s="26"/>
      <c r="C360" s="26"/>
      <c r="D360" s="26"/>
      <c r="E360" s="26"/>
      <c r="F360" s="26"/>
      <c r="G360" s="26"/>
      <c r="H360" s="26"/>
      <c r="I360" s="26"/>
      <c r="J360" s="26"/>
      <c r="K360" s="5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row>
    <row r="361" spans="1:34" ht="15.75" customHeight="1">
      <c r="A361" s="26"/>
      <c r="B361" s="26"/>
      <c r="C361" s="26"/>
      <c r="D361" s="26"/>
      <c r="E361" s="26"/>
      <c r="F361" s="26"/>
      <c r="G361" s="26"/>
      <c r="H361" s="26"/>
      <c r="I361" s="26"/>
      <c r="J361" s="26"/>
      <c r="K361" s="5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row>
    <row r="362" spans="1:34" ht="15.75" customHeight="1">
      <c r="A362" s="26"/>
      <c r="B362" s="26"/>
      <c r="C362" s="26"/>
      <c r="D362" s="26"/>
      <c r="E362" s="26"/>
      <c r="F362" s="26"/>
      <c r="G362" s="26"/>
      <c r="H362" s="26"/>
      <c r="I362" s="26"/>
      <c r="J362" s="26"/>
      <c r="K362" s="5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row>
    <row r="363" spans="1:34" ht="15.75" customHeight="1">
      <c r="A363" s="26"/>
      <c r="B363" s="26"/>
      <c r="C363" s="26"/>
      <c r="D363" s="26"/>
      <c r="E363" s="26"/>
      <c r="F363" s="26"/>
      <c r="G363" s="26"/>
      <c r="H363" s="26"/>
      <c r="I363" s="26"/>
      <c r="J363" s="26"/>
      <c r="K363" s="5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row>
    <row r="364" spans="1:34" ht="15.75" customHeight="1">
      <c r="A364" s="26"/>
      <c r="B364" s="26"/>
      <c r="C364" s="26"/>
      <c r="D364" s="26"/>
      <c r="E364" s="26"/>
      <c r="F364" s="26"/>
      <c r="G364" s="26"/>
      <c r="H364" s="26"/>
      <c r="I364" s="26"/>
      <c r="J364" s="26"/>
      <c r="K364" s="5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row>
    <row r="365" spans="1:34" ht="15.75" customHeight="1">
      <c r="A365" s="26"/>
      <c r="B365" s="26"/>
      <c r="C365" s="26"/>
      <c r="D365" s="26"/>
      <c r="E365" s="26"/>
      <c r="F365" s="26"/>
      <c r="G365" s="26"/>
      <c r="H365" s="26"/>
      <c r="I365" s="26"/>
      <c r="J365" s="26"/>
      <c r="K365" s="5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row>
    <row r="366" spans="1:34" ht="15.75" customHeight="1">
      <c r="A366" s="26"/>
      <c r="B366" s="26"/>
      <c r="C366" s="26"/>
      <c r="D366" s="26"/>
      <c r="E366" s="26"/>
      <c r="F366" s="26"/>
      <c r="G366" s="26"/>
      <c r="H366" s="26"/>
      <c r="I366" s="26"/>
      <c r="J366" s="26"/>
      <c r="K366" s="5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row>
    <row r="367" spans="1:34" ht="15.75" customHeight="1">
      <c r="A367" s="26"/>
      <c r="B367" s="26"/>
      <c r="C367" s="26"/>
      <c r="D367" s="26"/>
      <c r="E367" s="26"/>
      <c r="F367" s="26"/>
      <c r="G367" s="26"/>
      <c r="H367" s="26"/>
      <c r="I367" s="26"/>
      <c r="J367" s="26"/>
      <c r="K367" s="5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row>
    <row r="368" spans="1:34" ht="15.75" customHeight="1">
      <c r="A368" s="26"/>
      <c r="B368" s="26"/>
      <c r="C368" s="26"/>
      <c r="D368" s="26"/>
      <c r="E368" s="26"/>
      <c r="F368" s="26"/>
      <c r="G368" s="26"/>
      <c r="H368" s="26"/>
      <c r="I368" s="26"/>
      <c r="J368" s="26"/>
      <c r="K368" s="5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row>
    <row r="369" spans="1:34" ht="15.75" customHeight="1">
      <c r="A369" s="26"/>
      <c r="B369" s="26"/>
      <c r="C369" s="26"/>
      <c r="D369" s="26"/>
      <c r="E369" s="26"/>
      <c r="F369" s="26"/>
      <c r="G369" s="26"/>
      <c r="H369" s="26"/>
      <c r="I369" s="26"/>
      <c r="J369" s="26"/>
      <c r="K369" s="5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row>
    <row r="370" spans="1:34" ht="15.75" customHeight="1">
      <c r="A370" s="26"/>
      <c r="B370" s="26"/>
      <c r="C370" s="26"/>
      <c r="D370" s="26"/>
      <c r="E370" s="26"/>
      <c r="F370" s="26"/>
      <c r="G370" s="26"/>
      <c r="H370" s="26"/>
      <c r="I370" s="26"/>
      <c r="J370" s="26"/>
      <c r="K370" s="5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row>
    <row r="371" spans="1:34" ht="15.75" customHeight="1">
      <c r="A371" s="26"/>
      <c r="B371" s="26"/>
      <c r="C371" s="26"/>
      <c r="D371" s="26"/>
      <c r="E371" s="26"/>
      <c r="F371" s="26"/>
      <c r="G371" s="26"/>
      <c r="H371" s="26"/>
      <c r="I371" s="26"/>
      <c r="J371" s="26"/>
      <c r="K371" s="5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row>
    <row r="372" spans="1:34" ht="15.75" customHeight="1">
      <c r="A372" s="26"/>
      <c r="B372" s="26"/>
      <c r="C372" s="26"/>
      <c r="D372" s="26"/>
      <c r="E372" s="26"/>
      <c r="F372" s="26"/>
      <c r="G372" s="26"/>
      <c r="H372" s="26"/>
      <c r="I372" s="26"/>
      <c r="J372" s="26"/>
      <c r="K372" s="5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row>
    <row r="373" spans="1:34" ht="15.75" customHeight="1">
      <c r="A373" s="26"/>
      <c r="B373" s="26"/>
      <c r="C373" s="26"/>
      <c r="D373" s="26"/>
      <c r="E373" s="26"/>
      <c r="F373" s="26"/>
      <c r="G373" s="26"/>
      <c r="H373" s="26"/>
      <c r="I373" s="26"/>
      <c r="J373" s="26"/>
      <c r="K373" s="5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row>
    <row r="374" spans="1:34" ht="15.75" customHeight="1">
      <c r="A374" s="26"/>
      <c r="B374" s="26"/>
      <c r="C374" s="26"/>
      <c r="D374" s="26"/>
      <c r="E374" s="26"/>
      <c r="F374" s="26"/>
      <c r="G374" s="26"/>
      <c r="H374" s="26"/>
      <c r="I374" s="26"/>
      <c r="J374" s="26"/>
      <c r="K374" s="5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row>
    <row r="375" spans="1:34" ht="15.75" customHeight="1">
      <c r="A375" s="26"/>
      <c r="B375" s="26"/>
      <c r="C375" s="26"/>
      <c r="D375" s="26"/>
      <c r="E375" s="26"/>
      <c r="F375" s="26"/>
      <c r="G375" s="26"/>
      <c r="H375" s="26"/>
      <c r="I375" s="26"/>
      <c r="J375" s="26"/>
      <c r="K375" s="5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row>
    <row r="376" spans="1:34" ht="15.75" customHeight="1">
      <c r="A376" s="26"/>
      <c r="B376" s="26"/>
      <c r="C376" s="26"/>
      <c r="D376" s="26"/>
      <c r="E376" s="26"/>
      <c r="F376" s="26"/>
      <c r="G376" s="26"/>
      <c r="H376" s="26"/>
      <c r="I376" s="26"/>
      <c r="J376" s="26"/>
      <c r="K376" s="5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row>
    <row r="377" spans="1:34" ht="15.75" customHeight="1">
      <c r="A377" s="26"/>
      <c r="B377" s="26"/>
      <c r="C377" s="26"/>
      <c r="D377" s="26"/>
      <c r="E377" s="26"/>
      <c r="F377" s="26"/>
      <c r="G377" s="26"/>
      <c r="H377" s="26"/>
      <c r="I377" s="26"/>
      <c r="J377" s="26"/>
      <c r="K377" s="5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row>
    <row r="378" spans="1:34" ht="15.75" customHeight="1">
      <c r="A378" s="26"/>
      <c r="B378" s="26"/>
      <c r="C378" s="26"/>
      <c r="D378" s="26"/>
      <c r="E378" s="26"/>
      <c r="F378" s="26"/>
      <c r="G378" s="26"/>
      <c r="H378" s="26"/>
      <c r="I378" s="26"/>
      <c r="J378" s="26"/>
      <c r="K378" s="5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row>
    <row r="379" spans="1:34" ht="15.75" customHeight="1">
      <c r="A379" s="26"/>
      <c r="B379" s="26"/>
      <c r="C379" s="26"/>
      <c r="D379" s="26"/>
      <c r="E379" s="26"/>
      <c r="F379" s="26"/>
      <c r="G379" s="26"/>
      <c r="H379" s="26"/>
      <c r="I379" s="26"/>
      <c r="J379" s="26"/>
      <c r="K379" s="5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row>
    <row r="380" spans="1:34" ht="15.75" customHeight="1">
      <c r="A380" s="26"/>
      <c r="B380" s="26"/>
      <c r="C380" s="26"/>
      <c r="D380" s="26"/>
      <c r="E380" s="26"/>
      <c r="F380" s="26"/>
      <c r="G380" s="26"/>
      <c r="H380" s="26"/>
      <c r="I380" s="26"/>
      <c r="J380" s="26"/>
      <c r="K380" s="5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row>
    <row r="381" spans="1:34" ht="15.75" customHeight="1">
      <c r="A381" s="26"/>
      <c r="B381" s="26"/>
      <c r="C381" s="26"/>
      <c r="D381" s="26"/>
      <c r="E381" s="26"/>
      <c r="F381" s="26"/>
      <c r="G381" s="26"/>
      <c r="H381" s="26"/>
      <c r="I381" s="26"/>
      <c r="J381" s="26"/>
      <c r="K381" s="5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row>
    <row r="382" spans="1:34" ht="15.75" customHeight="1">
      <c r="A382" s="26"/>
      <c r="B382" s="26"/>
      <c r="C382" s="26"/>
      <c r="D382" s="26"/>
      <c r="E382" s="26"/>
      <c r="F382" s="26"/>
      <c r="G382" s="26"/>
      <c r="H382" s="26"/>
      <c r="I382" s="26"/>
      <c r="J382" s="26"/>
      <c r="K382" s="5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row>
    <row r="383" spans="1:34" ht="15.75" customHeight="1">
      <c r="A383" s="26"/>
      <c r="B383" s="26"/>
      <c r="C383" s="26"/>
      <c r="D383" s="26"/>
      <c r="E383" s="26"/>
      <c r="F383" s="26"/>
      <c r="G383" s="26"/>
      <c r="H383" s="26"/>
      <c r="I383" s="26"/>
      <c r="J383" s="26"/>
      <c r="K383" s="5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row>
    <row r="384" spans="1:34" ht="15.75" customHeight="1">
      <c r="A384" s="26"/>
      <c r="B384" s="26"/>
      <c r="C384" s="26"/>
      <c r="D384" s="26"/>
      <c r="E384" s="26"/>
      <c r="F384" s="26"/>
      <c r="G384" s="26"/>
      <c r="H384" s="26"/>
      <c r="I384" s="26"/>
      <c r="J384" s="26"/>
      <c r="K384" s="5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row>
    <row r="385" spans="1:34" ht="15.75" customHeight="1">
      <c r="A385" s="26"/>
      <c r="B385" s="26"/>
      <c r="C385" s="26"/>
      <c r="D385" s="26"/>
      <c r="E385" s="26"/>
      <c r="F385" s="26"/>
      <c r="G385" s="26"/>
      <c r="H385" s="26"/>
      <c r="I385" s="26"/>
      <c r="J385" s="26"/>
      <c r="K385" s="5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row>
    <row r="386" spans="1:34" ht="15.75" customHeight="1">
      <c r="A386" s="26"/>
      <c r="B386" s="26"/>
      <c r="C386" s="26"/>
      <c r="D386" s="26"/>
      <c r="E386" s="26"/>
      <c r="F386" s="26"/>
      <c r="G386" s="26"/>
      <c r="H386" s="26"/>
      <c r="I386" s="26"/>
      <c r="J386" s="26"/>
      <c r="K386" s="5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row>
    <row r="387" spans="1:34" ht="15.75" customHeight="1">
      <c r="A387" s="26"/>
      <c r="B387" s="26"/>
      <c r="C387" s="26"/>
      <c r="D387" s="26"/>
      <c r="E387" s="26"/>
      <c r="F387" s="26"/>
      <c r="G387" s="26"/>
      <c r="H387" s="26"/>
      <c r="I387" s="26"/>
      <c r="J387" s="26"/>
      <c r="K387" s="5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row>
    <row r="388" spans="1:34" ht="15.75" customHeight="1">
      <c r="A388" s="26"/>
      <c r="B388" s="26"/>
      <c r="C388" s="26"/>
      <c r="D388" s="26"/>
      <c r="E388" s="26"/>
      <c r="F388" s="26"/>
      <c r="G388" s="26"/>
      <c r="H388" s="26"/>
      <c r="I388" s="26"/>
      <c r="J388" s="26"/>
      <c r="K388" s="5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row>
    <row r="389" spans="1:34" ht="15.75" customHeight="1">
      <c r="A389" s="26"/>
      <c r="B389" s="26"/>
      <c r="C389" s="26"/>
      <c r="D389" s="26"/>
      <c r="E389" s="26"/>
      <c r="F389" s="26"/>
      <c r="G389" s="26"/>
      <c r="H389" s="26"/>
      <c r="I389" s="26"/>
      <c r="J389" s="26"/>
      <c r="K389" s="5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row>
    <row r="390" spans="1:34" ht="15.75" customHeight="1">
      <c r="A390" s="26"/>
      <c r="B390" s="26"/>
      <c r="C390" s="26"/>
      <c r="D390" s="26"/>
      <c r="E390" s="26"/>
      <c r="F390" s="26"/>
      <c r="G390" s="26"/>
      <c r="H390" s="26"/>
      <c r="I390" s="26"/>
      <c r="J390" s="26"/>
      <c r="K390" s="5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row>
    <row r="391" spans="1:34" ht="15.75" customHeight="1">
      <c r="A391" s="26"/>
      <c r="B391" s="26"/>
      <c r="C391" s="26"/>
      <c r="D391" s="26"/>
      <c r="E391" s="26"/>
      <c r="F391" s="26"/>
      <c r="G391" s="26"/>
      <c r="H391" s="26"/>
      <c r="I391" s="26"/>
      <c r="J391" s="26"/>
      <c r="K391" s="5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row>
    <row r="392" spans="1:34" ht="15.75" customHeight="1">
      <c r="A392" s="26"/>
      <c r="B392" s="26"/>
      <c r="C392" s="26"/>
      <c r="D392" s="26"/>
      <c r="E392" s="26"/>
      <c r="F392" s="26"/>
      <c r="G392" s="26"/>
      <c r="H392" s="26"/>
      <c r="I392" s="26"/>
      <c r="J392" s="26"/>
      <c r="K392" s="5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row>
    <row r="393" spans="1:34" ht="15.75" customHeight="1">
      <c r="A393" s="26"/>
      <c r="B393" s="26"/>
      <c r="C393" s="26"/>
      <c r="D393" s="26"/>
      <c r="E393" s="26"/>
      <c r="F393" s="26"/>
      <c r="G393" s="26"/>
      <c r="H393" s="26"/>
      <c r="I393" s="26"/>
      <c r="J393" s="26"/>
      <c r="K393" s="5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row>
    <row r="394" spans="1:34" ht="15.75" customHeight="1">
      <c r="A394" s="26"/>
      <c r="B394" s="26"/>
      <c r="C394" s="26"/>
      <c r="D394" s="26"/>
      <c r="E394" s="26"/>
      <c r="F394" s="26"/>
      <c r="G394" s="26"/>
      <c r="H394" s="26"/>
      <c r="I394" s="26"/>
      <c r="J394" s="26"/>
      <c r="K394" s="5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row>
    <row r="395" spans="1:34" ht="15.75" customHeight="1">
      <c r="A395" s="26"/>
      <c r="B395" s="26"/>
      <c r="C395" s="26"/>
      <c r="D395" s="26"/>
      <c r="E395" s="26"/>
      <c r="F395" s="26"/>
      <c r="G395" s="26"/>
      <c r="H395" s="26"/>
      <c r="I395" s="26"/>
      <c r="J395" s="26"/>
      <c r="K395" s="5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row>
    <row r="396" spans="1:34" ht="15.75" customHeight="1">
      <c r="A396" s="26"/>
      <c r="B396" s="26"/>
      <c r="C396" s="26"/>
      <c r="D396" s="26"/>
      <c r="E396" s="26"/>
      <c r="F396" s="26"/>
      <c r="G396" s="26"/>
      <c r="H396" s="26"/>
      <c r="I396" s="26"/>
      <c r="J396" s="26"/>
      <c r="K396" s="5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row>
    <row r="397" spans="1:34" ht="15.75" customHeight="1">
      <c r="A397" s="26"/>
      <c r="B397" s="26"/>
      <c r="C397" s="26"/>
      <c r="D397" s="26"/>
      <c r="E397" s="26"/>
      <c r="F397" s="26"/>
      <c r="G397" s="26"/>
      <c r="H397" s="26"/>
      <c r="I397" s="26"/>
      <c r="J397" s="26"/>
      <c r="K397" s="5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row>
    <row r="398" spans="1:34" ht="15.75" customHeight="1">
      <c r="A398" s="26"/>
      <c r="B398" s="26"/>
      <c r="C398" s="26"/>
      <c r="D398" s="26"/>
      <c r="E398" s="26"/>
      <c r="F398" s="26"/>
      <c r="G398" s="26"/>
      <c r="H398" s="26"/>
      <c r="I398" s="26"/>
      <c r="J398" s="26"/>
      <c r="K398" s="5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row>
    <row r="399" spans="1:34" ht="15.75" customHeight="1">
      <c r="A399" s="26"/>
      <c r="B399" s="26"/>
      <c r="C399" s="26"/>
      <c r="D399" s="26"/>
      <c r="E399" s="26"/>
      <c r="F399" s="26"/>
      <c r="G399" s="26"/>
      <c r="H399" s="26"/>
      <c r="I399" s="26"/>
      <c r="J399" s="26"/>
      <c r="K399" s="5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row>
    <row r="400" spans="1:34" ht="15.75" customHeight="1">
      <c r="A400" s="26"/>
      <c r="B400" s="26"/>
      <c r="C400" s="26"/>
      <c r="D400" s="26"/>
      <c r="E400" s="26"/>
      <c r="F400" s="26"/>
      <c r="G400" s="26"/>
      <c r="H400" s="26"/>
      <c r="I400" s="26"/>
      <c r="J400" s="26"/>
      <c r="K400" s="5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row>
    <row r="401" spans="1:34" ht="15.75" customHeight="1">
      <c r="A401" s="26"/>
      <c r="B401" s="26"/>
      <c r="C401" s="26"/>
      <c r="D401" s="26"/>
      <c r="E401" s="26"/>
      <c r="F401" s="26"/>
      <c r="G401" s="26"/>
      <c r="H401" s="26"/>
      <c r="I401" s="26"/>
      <c r="J401" s="26"/>
      <c r="K401" s="5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row>
    <row r="402" spans="1:34" ht="15.75" customHeight="1">
      <c r="A402" s="26"/>
      <c r="B402" s="26"/>
      <c r="C402" s="26"/>
      <c r="D402" s="26"/>
      <c r="E402" s="26"/>
      <c r="F402" s="26"/>
      <c r="G402" s="26"/>
      <c r="H402" s="26"/>
      <c r="I402" s="26"/>
      <c r="J402" s="26"/>
      <c r="K402" s="5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row>
    <row r="403" spans="1:34" ht="15.75" customHeight="1">
      <c r="A403" s="26"/>
      <c r="B403" s="26"/>
      <c r="C403" s="26"/>
      <c r="D403" s="26"/>
      <c r="E403" s="26"/>
      <c r="F403" s="26"/>
      <c r="G403" s="26"/>
      <c r="H403" s="26"/>
      <c r="I403" s="26"/>
      <c r="J403" s="26"/>
      <c r="K403" s="5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row>
    <row r="404" spans="1:34" ht="15.75" customHeight="1">
      <c r="A404" s="26"/>
      <c r="B404" s="26"/>
      <c r="C404" s="26"/>
      <c r="D404" s="26"/>
      <c r="E404" s="26"/>
      <c r="F404" s="26"/>
      <c r="G404" s="26"/>
      <c r="H404" s="26"/>
      <c r="I404" s="26"/>
      <c r="J404" s="26"/>
      <c r="K404" s="5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row>
    <row r="405" spans="1:34" ht="15.75" customHeight="1">
      <c r="A405" s="26"/>
      <c r="B405" s="26"/>
      <c r="C405" s="26"/>
      <c r="D405" s="26"/>
      <c r="E405" s="26"/>
      <c r="F405" s="26"/>
      <c r="G405" s="26"/>
      <c r="H405" s="26"/>
      <c r="I405" s="26"/>
      <c r="J405" s="26"/>
      <c r="K405" s="5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row>
    <row r="406" spans="1:34" ht="15.75" customHeight="1">
      <c r="A406" s="26"/>
      <c r="B406" s="26"/>
      <c r="C406" s="26"/>
      <c r="D406" s="26"/>
      <c r="E406" s="26"/>
      <c r="F406" s="26"/>
      <c r="G406" s="26"/>
      <c r="H406" s="26"/>
      <c r="I406" s="26"/>
      <c r="J406" s="26"/>
      <c r="K406" s="5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row>
    <row r="407" spans="1:34" ht="15.75" customHeight="1">
      <c r="A407" s="26"/>
      <c r="B407" s="26"/>
      <c r="C407" s="26"/>
      <c r="D407" s="26"/>
      <c r="E407" s="26"/>
      <c r="F407" s="26"/>
      <c r="G407" s="26"/>
      <c r="H407" s="26"/>
      <c r="I407" s="26"/>
      <c r="J407" s="26"/>
      <c r="K407" s="5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row>
    <row r="408" spans="1:34" ht="15.75" customHeight="1">
      <c r="A408" s="26"/>
      <c r="B408" s="26"/>
      <c r="C408" s="26"/>
      <c r="D408" s="26"/>
      <c r="E408" s="26"/>
      <c r="F408" s="26"/>
      <c r="G408" s="26"/>
      <c r="H408" s="26"/>
      <c r="I408" s="26"/>
      <c r="J408" s="26"/>
      <c r="K408" s="5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row>
    <row r="409" spans="1:34" ht="15.75" customHeight="1">
      <c r="A409" s="26"/>
      <c r="B409" s="26"/>
      <c r="C409" s="26"/>
      <c r="D409" s="26"/>
      <c r="E409" s="26"/>
      <c r="F409" s="26"/>
      <c r="G409" s="26"/>
      <c r="H409" s="26"/>
      <c r="I409" s="26"/>
      <c r="J409" s="26"/>
      <c r="K409" s="5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row>
    <row r="410" spans="1:34" ht="15.75" customHeight="1">
      <c r="A410" s="26"/>
      <c r="B410" s="26"/>
      <c r="C410" s="26"/>
      <c r="D410" s="26"/>
      <c r="E410" s="26"/>
      <c r="F410" s="26"/>
      <c r="G410" s="26"/>
      <c r="H410" s="26"/>
      <c r="I410" s="26"/>
      <c r="J410" s="26"/>
      <c r="K410" s="5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row>
    <row r="411" spans="1:34" ht="15.75" customHeight="1">
      <c r="A411" s="26"/>
      <c r="B411" s="26"/>
      <c r="C411" s="26"/>
      <c r="D411" s="26"/>
      <c r="E411" s="26"/>
      <c r="F411" s="26"/>
      <c r="G411" s="26"/>
      <c r="H411" s="26"/>
      <c r="I411" s="26"/>
      <c r="J411" s="26"/>
      <c r="K411" s="5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row>
    <row r="412" spans="1:34" ht="15.75" customHeight="1">
      <c r="A412" s="26"/>
      <c r="B412" s="26"/>
      <c r="C412" s="26"/>
      <c r="D412" s="26"/>
      <c r="E412" s="26"/>
      <c r="F412" s="26"/>
      <c r="G412" s="26"/>
      <c r="H412" s="26"/>
      <c r="I412" s="26"/>
      <c r="J412" s="26"/>
      <c r="K412" s="5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row>
    <row r="413" spans="1:34" ht="15.75" customHeight="1">
      <c r="A413" s="26"/>
      <c r="B413" s="26"/>
      <c r="C413" s="26"/>
      <c r="D413" s="26"/>
      <c r="E413" s="26"/>
      <c r="F413" s="26"/>
      <c r="G413" s="26"/>
      <c r="H413" s="26"/>
      <c r="I413" s="26"/>
      <c r="J413" s="26"/>
      <c r="K413" s="5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row>
    <row r="414" spans="1:34" ht="15.75" customHeight="1">
      <c r="A414" s="26"/>
      <c r="B414" s="26"/>
      <c r="C414" s="26"/>
      <c r="D414" s="26"/>
      <c r="E414" s="26"/>
      <c r="F414" s="26"/>
      <c r="G414" s="26"/>
      <c r="H414" s="26"/>
      <c r="I414" s="26"/>
      <c r="J414" s="26"/>
      <c r="K414" s="5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row>
    <row r="415" spans="1:34" ht="15.75" customHeight="1">
      <c r="A415" s="26"/>
      <c r="B415" s="26"/>
      <c r="C415" s="26"/>
      <c r="D415" s="26"/>
      <c r="E415" s="26"/>
      <c r="F415" s="26"/>
      <c r="G415" s="26"/>
      <c r="H415" s="26"/>
      <c r="I415" s="26"/>
      <c r="J415" s="26"/>
      <c r="K415" s="5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row>
    <row r="416" spans="1:34" ht="15.75" customHeight="1">
      <c r="A416" s="26"/>
      <c r="B416" s="26"/>
      <c r="C416" s="26"/>
      <c r="D416" s="26"/>
      <c r="E416" s="26"/>
      <c r="F416" s="26"/>
      <c r="G416" s="26"/>
      <c r="H416" s="26"/>
      <c r="I416" s="26"/>
      <c r="J416" s="26"/>
      <c r="K416" s="5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row>
    <row r="417" spans="1:34" ht="15.75" customHeight="1">
      <c r="A417" s="26"/>
      <c r="B417" s="26"/>
      <c r="C417" s="26"/>
      <c r="D417" s="26"/>
      <c r="E417" s="26"/>
      <c r="F417" s="26"/>
      <c r="G417" s="26"/>
      <c r="H417" s="26"/>
      <c r="I417" s="26"/>
      <c r="J417" s="26"/>
      <c r="K417" s="5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row>
    <row r="418" spans="1:34" ht="15.75" customHeight="1">
      <c r="A418" s="26"/>
      <c r="B418" s="26"/>
      <c r="C418" s="26"/>
      <c r="D418" s="26"/>
      <c r="E418" s="26"/>
      <c r="F418" s="26"/>
      <c r="G418" s="26"/>
      <c r="H418" s="26"/>
      <c r="I418" s="26"/>
      <c r="J418" s="26"/>
      <c r="K418" s="5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row>
    <row r="419" spans="1:34" ht="15.75" customHeight="1">
      <c r="A419" s="26"/>
      <c r="B419" s="26"/>
      <c r="C419" s="26"/>
      <c r="D419" s="26"/>
      <c r="E419" s="26"/>
      <c r="F419" s="26"/>
      <c r="G419" s="26"/>
      <c r="H419" s="26"/>
      <c r="I419" s="26"/>
      <c r="J419" s="26"/>
      <c r="K419" s="5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row>
    <row r="420" spans="1:34" ht="15.75" customHeight="1">
      <c r="A420" s="26"/>
      <c r="B420" s="26"/>
      <c r="C420" s="26"/>
      <c r="D420" s="26"/>
      <c r="E420" s="26"/>
      <c r="F420" s="26"/>
      <c r="G420" s="26"/>
      <c r="H420" s="26"/>
      <c r="I420" s="26"/>
      <c r="J420" s="26"/>
      <c r="K420" s="5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row>
    <row r="421" spans="1:34" ht="15.75" customHeight="1">
      <c r="A421" s="26"/>
      <c r="B421" s="26"/>
      <c r="C421" s="26"/>
      <c r="D421" s="26"/>
      <c r="E421" s="26"/>
      <c r="F421" s="26"/>
      <c r="G421" s="26"/>
      <c r="H421" s="26"/>
      <c r="I421" s="26"/>
      <c r="J421" s="26"/>
      <c r="K421" s="5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row>
    <row r="422" spans="1:34" ht="15.75" customHeight="1">
      <c r="A422" s="26"/>
      <c r="B422" s="26"/>
      <c r="C422" s="26"/>
      <c r="D422" s="26"/>
      <c r="E422" s="26"/>
      <c r="F422" s="26"/>
      <c r="G422" s="26"/>
      <c r="H422" s="26"/>
      <c r="I422" s="26"/>
      <c r="J422" s="26"/>
      <c r="K422" s="5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row>
    <row r="423" spans="1:34" ht="15.75" customHeight="1">
      <c r="A423" s="26"/>
      <c r="B423" s="26"/>
      <c r="C423" s="26"/>
      <c r="D423" s="26"/>
      <c r="E423" s="26"/>
      <c r="F423" s="26"/>
      <c r="G423" s="26"/>
      <c r="H423" s="26"/>
      <c r="I423" s="26"/>
      <c r="J423" s="26"/>
      <c r="K423" s="5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row>
    <row r="424" spans="1:34" ht="15.75" customHeight="1">
      <c r="A424" s="26"/>
      <c r="B424" s="26"/>
      <c r="C424" s="26"/>
      <c r="D424" s="26"/>
      <c r="E424" s="26"/>
      <c r="F424" s="26"/>
      <c r="G424" s="26"/>
      <c r="H424" s="26"/>
      <c r="I424" s="26"/>
      <c r="J424" s="26"/>
      <c r="K424" s="5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row>
    <row r="425" spans="1:34" ht="15.75" customHeight="1">
      <c r="A425" s="26"/>
      <c r="B425" s="26"/>
      <c r="C425" s="26"/>
      <c r="D425" s="26"/>
      <c r="E425" s="26"/>
      <c r="F425" s="26"/>
      <c r="G425" s="26"/>
      <c r="H425" s="26"/>
      <c r="I425" s="26"/>
      <c r="J425" s="26"/>
      <c r="K425" s="5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row>
    <row r="426" spans="1:34" ht="15.75" customHeight="1">
      <c r="A426" s="26"/>
      <c r="B426" s="26"/>
      <c r="C426" s="26"/>
      <c r="D426" s="26"/>
      <c r="E426" s="26"/>
      <c r="F426" s="26"/>
      <c r="G426" s="26"/>
      <c r="H426" s="26"/>
      <c r="I426" s="26"/>
      <c r="J426" s="26"/>
      <c r="K426" s="5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row>
    <row r="427" spans="1:34" ht="15.75" customHeight="1">
      <c r="A427" s="26"/>
      <c r="B427" s="26"/>
      <c r="C427" s="26"/>
      <c r="D427" s="26"/>
      <c r="E427" s="26"/>
      <c r="F427" s="26"/>
      <c r="G427" s="26"/>
      <c r="H427" s="26"/>
      <c r="I427" s="26"/>
      <c r="J427" s="26"/>
      <c r="K427" s="5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row>
    <row r="428" spans="1:34" ht="15.75" customHeight="1">
      <c r="A428" s="26"/>
      <c r="B428" s="26"/>
      <c r="C428" s="26"/>
      <c r="D428" s="26"/>
      <c r="E428" s="26"/>
      <c r="F428" s="26"/>
      <c r="G428" s="26"/>
      <c r="H428" s="26"/>
      <c r="I428" s="26"/>
      <c r="J428" s="26"/>
      <c r="K428" s="5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row>
    <row r="429" spans="1:34" ht="15.75" customHeight="1">
      <c r="A429" s="26"/>
      <c r="B429" s="26"/>
      <c r="C429" s="26"/>
      <c r="D429" s="26"/>
      <c r="E429" s="26"/>
      <c r="F429" s="26"/>
      <c r="G429" s="26"/>
      <c r="H429" s="26"/>
      <c r="I429" s="26"/>
      <c r="J429" s="26"/>
      <c r="K429" s="5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row>
    <row r="430" spans="1:34" ht="15.75" customHeight="1">
      <c r="A430" s="26"/>
      <c r="B430" s="26"/>
      <c r="C430" s="26"/>
      <c r="D430" s="26"/>
      <c r="E430" s="26"/>
      <c r="F430" s="26"/>
      <c r="G430" s="26"/>
      <c r="H430" s="26"/>
      <c r="I430" s="26"/>
      <c r="J430" s="26"/>
      <c r="K430" s="5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row>
    <row r="431" spans="1:34" ht="15.75" customHeight="1">
      <c r="A431" s="26"/>
      <c r="B431" s="26"/>
      <c r="C431" s="26"/>
      <c r="D431" s="26"/>
      <c r="E431" s="26"/>
      <c r="F431" s="26"/>
      <c r="G431" s="26"/>
      <c r="H431" s="26"/>
      <c r="I431" s="26"/>
      <c r="J431" s="26"/>
      <c r="K431" s="5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row>
    <row r="432" spans="1:34" ht="15.75" customHeight="1">
      <c r="A432" s="26"/>
      <c r="B432" s="26"/>
      <c r="C432" s="26"/>
      <c r="D432" s="26"/>
      <c r="E432" s="26"/>
      <c r="F432" s="26"/>
      <c r="G432" s="26"/>
      <c r="H432" s="26"/>
      <c r="I432" s="26"/>
      <c r="J432" s="26"/>
      <c r="K432" s="5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row>
    <row r="433" spans="1:34" ht="15.75" customHeight="1">
      <c r="A433" s="26"/>
      <c r="B433" s="26"/>
      <c r="C433" s="26"/>
      <c r="D433" s="26"/>
      <c r="E433" s="26"/>
      <c r="F433" s="26"/>
      <c r="G433" s="26"/>
      <c r="H433" s="26"/>
      <c r="I433" s="26"/>
      <c r="J433" s="26"/>
      <c r="K433" s="5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row>
    <row r="434" spans="1:34" ht="15.75" customHeight="1">
      <c r="A434" s="26"/>
      <c r="B434" s="26"/>
      <c r="C434" s="26"/>
      <c r="D434" s="26"/>
      <c r="E434" s="26"/>
      <c r="F434" s="26"/>
      <c r="G434" s="26"/>
      <c r="H434" s="26"/>
      <c r="I434" s="26"/>
      <c r="J434" s="26"/>
      <c r="K434" s="5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row>
    <row r="435" spans="1:34" ht="15.75" customHeight="1">
      <c r="A435" s="26"/>
      <c r="B435" s="26"/>
      <c r="C435" s="26"/>
      <c r="D435" s="26"/>
      <c r="E435" s="26"/>
      <c r="F435" s="26"/>
      <c r="G435" s="26"/>
      <c r="H435" s="26"/>
      <c r="I435" s="26"/>
      <c r="J435" s="26"/>
      <c r="K435" s="5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row>
    <row r="436" spans="1:34" ht="15.75" customHeight="1">
      <c r="A436" s="26"/>
      <c r="B436" s="26"/>
      <c r="C436" s="26"/>
      <c r="D436" s="26"/>
      <c r="E436" s="26"/>
      <c r="F436" s="26"/>
      <c r="G436" s="26"/>
      <c r="H436" s="26"/>
      <c r="I436" s="26"/>
      <c r="J436" s="26"/>
      <c r="K436" s="5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row>
    <row r="437" spans="1:34" ht="15.75" customHeight="1">
      <c r="A437" s="26"/>
      <c r="B437" s="26"/>
      <c r="C437" s="26"/>
      <c r="D437" s="26"/>
      <c r="E437" s="26"/>
      <c r="F437" s="26"/>
      <c r="G437" s="26"/>
      <c r="H437" s="26"/>
      <c r="I437" s="26"/>
      <c r="J437" s="26"/>
      <c r="K437" s="5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row>
    <row r="438" spans="1:34" ht="15.75" customHeight="1">
      <c r="A438" s="26"/>
      <c r="B438" s="26"/>
      <c r="C438" s="26"/>
      <c r="D438" s="26"/>
      <c r="E438" s="26"/>
      <c r="F438" s="26"/>
      <c r="G438" s="26"/>
      <c r="H438" s="26"/>
      <c r="I438" s="26"/>
      <c r="J438" s="26"/>
      <c r="K438" s="5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row>
    <row r="439" spans="1:34" ht="15.75" customHeight="1">
      <c r="A439" s="26"/>
      <c r="B439" s="26"/>
      <c r="C439" s="26"/>
      <c r="D439" s="26"/>
      <c r="E439" s="26"/>
      <c r="F439" s="26"/>
      <c r="G439" s="26"/>
      <c r="H439" s="26"/>
      <c r="I439" s="26"/>
      <c r="J439" s="26"/>
      <c r="K439" s="5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row>
    <row r="440" spans="1:34" ht="15.75" customHeight="1">
      <c r="A440" s="26"/>
      <c r="B440" s="26"/>
      <c r="C440" s="26"/>
      <c r="D440" s="26"/>
      <c r="E440" s="26"/>
      <c r="F440" s="26"/>
      <c r="G440" s="26"/>
      <c r="H440" s="26"/>
      <c r="I440" s="26"/>
      <c r="J440" s="26"/>
      <c r="K440" s="5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row>
    <row r="441" spans="1:34" ht="15.75" customHeight="1">
      <c r="A441" s="26"/>
      <c r="B441" s="26"/>
      <c r="C441" s="26"/>
      <c r="D441" s="26"/>
      <c r="E441" s="26"/>
      <c r="F441" s="26"/>
      <c r="G441" s="26"/>
      <c r="H441" s="26"/>
      <c r="I441" s="26"/>
      <c r="J441" s="26"/>
      <c r="K441" s="5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row>
    <row r="442" spans="1:34" ht="15.75" customHeight="1">
      <c r="A442" s="26"/>
      <c r="B442" s="26"/>
      <c r="C442" s="26"/>
      <c r="D442" s="26"/>
      <c r="E442" s="26"/>
      <c r="F442" s="26"/>
      <c r="G442" s="26"/>
      <c r="H442" s="26"/>
      <c r="I442" s="26"/>
      <c r="J442" s="26"/>
      <c r="K442" s="5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row>
    <row r="443" spans="1:34" ht="15.75" customHeight="1">
      <c r="A443" s="26"/>
      <c r="B443" s="26"/>
      <c r="C443" s="26"/>
      <c r="D443" s="26"/>
      <c r="E443" s="26"/>
      <c r="F443" s="26"/>
      <c r="G443" s="26"/>
      <c r="H443" s="26"/>
      <c r="I443" s="26"/>
      <c r="J443" s="26"/>
      <c r="K443" s="5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row>
    <row r="444" spans="1:34" ht="15.75" customHeight="1">
      <c r="A444" s="26"/>
      <c r="B444" s="26"/>
      <c r="C444" s="26"/>
      <c r="D444" s="26"/>
      <c r="E444" s="26"/>
      <c r="F444" s="26"/>
      <c r="G444" s="26"/>
      <c r="H444" s="26"/>
      <c r="I444" s="26"/>
      <c r="J444" s="26"/>
      <c r="K444" s="5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row>
    <row r="445" spans="1:34" ht="15.75" customHeight="1">
      <c r="A445" s="26"/>
      <c r="B445" s="26"/>
      <c r="C445" s="26"/>
      <c r="D445" s="26"/>
      <c r="E445" s="26"/>
      <c r="F445" s="26"/>
      <c r="G445" s="26"/>
      <c r="H445" s="26"/>
      <c r="I445" s="26"/>
      <c r="J445" s="26"/>
      <c r="K445" s="5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row>
    <row r="446" spans="1:34" ht="15.75" customHeight="1">
      <c r="A446" s="26"/>
      <c r="B446" s="26"/>
      <c r="C446" s="26"/>
      <c r="D446" s="26"/>
      <c r="E446" s="26"/>
      <c r="F446" s="26"/>
      <c r="G446" s="26"/>
      <c r="H446" s="26"/>
      <c r="I446" s="26"/>
      <c r="J446" s="26"/>
      <c r="K446" s="5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row>
    <row r="447" spans="1:34" ht="15.75" customHeight="1">
      <c r="A447" s="26"/>
      <c r="B447" s="26"/>
      <c r="C447" s="26"/>
      <c r="D447" s="26"/>
      <c r="E447" s="26"/>
      <c r="F447" s="26"/>
      <c r="G447" s="26"/>
      <c r="H447" s="26"/>
      <c r="I447" s="26"/>
      <c r="J447" s="26"/>
      <c r="K447" s="5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row>
    <row r="448" spans="1:34" ht="15.75" customHeight="1">
      <c r="A448" s="26"/>
      <c r="B448" s="26"/>
      <c r="C448" s="26"/>
      <c r="D448" s="26"/>
      <c r="E448" s="26"/>
      <c r="F448" s="26"/>
      <c r="G448" s="26"/>
      <c r="H448" s="26"/>
      <c r="I448" s="26"/>
      <c r="J448" s="26"/>
      <c r="K448" s="5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row>
    <row r="449" spans="1:34" ht="15.75" customHeight="1">
      <c r="A449" s="26"/>
      <c r="B449" s="26"/>
      <c r="C449" s="26"/>
      <c r="D449" s="26"/>
      <c r="E449" s="26"/>
      <c r="F449" s="26"/>
      <c r="G449" s="26"/>
      <c r="H449" s="26"/>
      <c r="I449" s="26"/>
      <c r="J449" s="26"/>
      <c r="K449" s="5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row>
    <row r="450" spans="1:34" ht="15.75" customHeight="1">
      <c r="A450" s="26"/>
      <c r="B450" s="26"/>
      <c r="C450" s="26"/>
      <c r="D450" s="26"/>
      <c r="E450" s="26"/>
      <c r="F450" s="26"/>
      <c r="G450" s="26"/>
      <c r="H450" s="26"/>
      <c r="I450" s="26"/>
      <c r="J450" s="26"/>
      <c r="K450" s="5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row>
    <row r="451" spans="1:34" ht="15.75" customHeight="1">
      <c r="A451" s="26"/>
      <c r="B451" s="26"/>
      <c r="C451" s="26"/>
      <c r="D451" s="26"/>
      <c r="E451" s="26"/>
      <c r="F451" s="26"/>
      <c r="G451" s="26"/>
      <c r="H451" s="26"/>
      <c r="I451" s="26"/>
      <c r="J451" s="26"/>
      <c r="K451" s="5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row>
    <row r="452" spans="1:34" ht="15.75" customHeight="1">
      <c r="A452" s="26"/>
      <c r="B452" s="26"/>
      <c r="C452" s="26"/>
      <c r="D452" s="26"/>
      <c r="E452" s="26"/>
      <c r="F452" s="26"/>
      <c r="G452" s="26"/>
      <c r="H452" s="26"/>
      <c r="I452" s="26"/>
      <c r="J452" s="26"/>
      <c r="K452" s="5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row>
    <row r="453" spans="1:34" ht="15.75" customHeight="1">
      <c r="A453" s="26"/>
      <c r="B453" s="26"/>
      <c r="C453" s="26"/>
      <c r="D453" s="26"/>
      <c r="E453" s="26"/>
      <c r="F453" s="26"/>
      <c r="G453" s="26"/>
      <c r="H453" s="26"/>
      <c r="I453" s="26"/>
      <c r="J453" s="26"/>
      <c r="K453" s="5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row>
    <row r="454" spans="1:34" ht="15.75" customHeight="1">
      <c r="A454" s="26"/>
      <c r="B454" s="26"/>
      <c r="C454" s="26"/>
      <c r="D454" s="26"/>
      <c r="E454" s="26"/>
      <c r="F454" s="26"/>
      <c r="G454" s="26"/>
      <c r="H454" s="26"/>
      <c r="I454" s="26"/>
      <c r="J454" s="26"/>
      <c r="K454" s="5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row>
    <row r="455" spans="1:34" ht="15.75" customHeight="1">
      <c r="A455" s="26"/>
      <c r="B455" s="26"/>
      <c r="C455" s="26"/>
      <c r="D455" s="26"/>
      <c r="E455" s="26"/>
      <c r="F455" s="26"/>
      <c r="G455" s="26"/>
      <c r="H455" s="26"/>
      <c r="I455" s="26"/>
      <c r="J455" s="26"/>
      <c r="K455" s="5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row>
    <row r="456" spans="1:34" ht="15.75" customHeight="1">
      <c r="A456" s="26"/>
      <c r="B456" s="26"/>
      <c r="C456" s="26"/>
      <c r="D456" s="26"/>
      <c r="E456" s="26"/>
      <c r="F456" s="26"/>
      <c r="G456" s="26"/>
      <c r="H456" s="26"/>
      <c r="I456" s="26"/>
      <c r="J456" s="26"/>
      <c r="K456" s="5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row>
    <row r="457" spans="1:34" ht="15.75" customHeight="1">
      <c r="A457" s="26"/>
      <c r="B457" s="26"/>
      <c r="C457" s="26"/>
      <c r="D457" s="26"/>
      <c r="E457" s="26"/>
      <c r="F457" s="26"/>
      <c r="G457" s="26"/>
      <c r="H457" s="26"/>
      <c r="I457" s="26"/>
      <c r="J457" s="26"/>
      <c r="K457" s="5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row>
    <row r="458" spans="1:34" ht="15.75" customHeight="1">
      <c r="A458" s="26"/>
      <c r="B458" s="26"/>
      <c r="C458" s="26"/>
      <c r="D458" s="26"/>
      <c r="E458" s="26"/>
      <c r="F458" s="26"/>
      <c r="G458" s="26"/>
      <c r="H458" s="26"/>
      <c r="I458" s="26"/>
      <c r="J458" s="26"/>
      <c r="K458" s="5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row>
    <row r="459" spans="1:34" ht="15.75" customHeight="1">
      <c r="A459" s="26"/>
      <c r="B459" s="26"/>
      <c r="C459" s="26"/>
      <c r="D459" s="26"/>
      <c r="E459" s="26"/>
      <c r="F459" s="26"/>
      <c r="G459" s="26"/>
      <c r="H459" s="26"/>
      <c r="I459" s="26"/>
      <c r="J459" s="26"/>
      <c r="K459" s="5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row>
    <row r="460" spans="1:34" ht="15.75" customHeight="1">
      <c r="A460" s="26"/>
      <c r="B460" s="26"/>
      <c r="C460" s="26"/>
      <c r="D460" s="26"/>
      <c r="E460" s="26"/>
      <c r="F460" s="26"/>
      <c r="G460" s="26"/>
      <c r="H460" s="26"/>
      <c r="I460" s="26"/>
      <c r="J460" s="26"/>
      <c r="K460" s="5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row>
    <row r="461" spans="1:34" ht="15.75" customHeight="1">
      <c r="A461" s="26"/>
      <c r="B461" s="26"/>
      <c r="C461" s="26"/>
      <c r="D461" s="26"/>
      <c r="E461" s="26"/>
      <c r="F461" s="26"/>
      <c r="G461" s="26"/>
      <c r="H461" s="26"/>
      <c r="I461" s="26"/>
      <c r="J461" s="26"/>
      <c r="K461" s="5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row>
    <row r="462" spans="1:34" ht="15.75" customHeight="1">
      <c r="A462" s="26"/>
      <c r="B462" s="26"/>
      <c r="C462" s="26"/>
      <c r="D462" s="26"/>
      <c r="E462" s="26"/>
      <c r="F462" s="26"/>
      <c r="G462" s="26"/>
      <c r="H462" s="26"/>
      <c r="I462" s="26"/>
      <c r="J462" s="26"/>
      <c r="K462" s="5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row>
    <row r="463" spans="1:34" ht="15.75" customHeight="1">
      <c r="A463" s="26"/>
      <c r="B463" s="26"/>
      <c r="C463" s="26"/>
      <c r="D463" s="26"/>
      <c r="E463" s="26"/>
      <c r="F463" s="26"/>
      <c r="G463" s="26"/>
      <c r="H463" s="26"/>
      <c r="I463" s="26"/>
      <c r="J463" s="26"/>
      <c r="K463" s="5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row>
    <row r="464" spans="1:34" ht="15.75" customHeight="1">
      <c r="A464" s="26"/>
      <c r="B464" s="26"/>
      <c r="C464" s="26"/>
      <c r="D464" s="26"/>
      <c r="E464" s="26"/>
      <c r="F464" s="26"/>
      <c r="G464" s="26"/>
      <c r="H464" s="26"/>
      <c r="I464" s="26"/>
      <c r="J464" s="26"/>
      <c r="K464" s="5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row>
    <row r="465" spans="1:34" ht="15.75" customHeight="1">
      <c r="A465" s="26"/>
      <c r="B465" s="26"/>
      <c r="C465" s="26"/>
      <c r="D465" s="26"/>
      <c r="E465" s="26"/>
      <c r="F465" s="26"/>
      <c r="G465" s="26"/>
      <c r="H465" s="26"/>
      <c r="I465" s="26"/>
      <c r="J465" s="26"/>
      <c r="K465" s="5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row>
    <row r="466" spans="1:34" ht="15.75" customHeight="1">
      <c r="A466" s="26"/>
      <c r="B466" s="26"/>
      <c r="C466" s="26"/>
      <c r="D466" s="26"/>
      <c r="E466" s="26"/>
      <c r="F466" s="26"/>
      <c r="G466" s="26"/>
      <c r="H466" s="26"/>
      <c r="I466" s="26"/>
      <c r="J466" s="26"/>
      <c r="K466" s="5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row>
    <row r="467" spans="1:34" ht="15.75" customHeight="1">
      <c r="A467" s="26"/>
      <c r="B467" s="26"/>
      <c r="C467" s="26"/>
      <c r="D467" s="26"/>
      <c r="E467" s="26"/>
      <c r="F467" s="26"/>
      <c r="G467" s="26"/>
      <c r="H467" s="26"/>
      <c r="I467" s="26"/>
      <c r="J467" s="26"/>
      <c r="K467" s="5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row>
    <row r="468" spans="1:34" ht="15.75" customHeight="1">
      <c r="A468" s="26"/>
      <c r="B468" s="26"/>
      <c r="C468" s="26"/>
      <c r="D468" s="26"/>
      <c r="E468" s="26"/>
      <c r="F468" s="26"/>
      <c r="G468" s="26"/>
      <c r="H468" s="26"/>
      <c r="I468" s="26"/>
      <c r="J468" s="26"/>
      <c r="K468" s="5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row>
    <row r="469" spans="1:34" ht="15.75" customHeight="1">
      <c r="A469" s="26"/>
      <c r="B469" s="26"/>
      <c r="C469" s="26"/>
      <c r="D469" s="26"/>
      <c r="E469" s="26"/>
      <c r="F469" s="26"/>
      <c r="G469" s="26"/>
      <c r="H469" s="26"/>
      <c r="I469" s="26"/>
      <c r="J469" s="26"/>
      <c r="K469" s="5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row>
    <row r="470" spans="1:34" ht="15.75" customHeight="1">
      <c r="A470" s="26"/>
      <c r="B470" s="26"/>
      <c r="C470" s="26"/>
      <c r="D470" s="26"/>
      <c r="E470" s="26"/>
      <c r="F470" s="26"/>
      <c r="G470" s="26"/>
      <c r="H470" s="26"/>
      <c r="I470" s="26"/>
      <c r="J470" s="26"/>
      <c r="K470" s="5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row>
    <row r="471" spans="1:34" ht="15.75" customHeight="1">
      <c r="A471" s="26"/>
      <c r="B471" s="26"/>
      <c r="C471" s="26"/>
      <c r="D471" s="26"/>
      <c r="E471" s="26"/>
      <c r="F471" s="26"/>
      <c r="G471" s="26"/>
      <c r="H471" s="26"/>
      <c r="I471" s="26"/>
      <c r="J471" s="26"/>
      <c r="K471" s="5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row>
    <row r="472" spans="1:34" ht="15.75" customHeight="1">
      <c r="A472" s="26"/>
      <c r="B472" s="26"/>
      <c r="C472" s="26"/>
      <c r="D472" s="26"/>
      <c r="E472" s="26"/>
      <c r="F472" s="26"/>
      <c r="G472" s="26"/>
      <c r="H472" s="26"/>
      <c r="I472" s="26"/>
      <c r="J472" s="26"/>
      <c r="K472" s="5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row>
    <row r="473" spans="1:34" ht="15.75" customHeight="1">
      <c r="A473" s="26"/>
      <c r="B473" s="26"/>
      <c r="C473" s="26"/>
      <c r="D473" s="26"/>
      <c r="E473" s="26"/>
      <c r="F473" s="26"/>
      <c r="G473" s="26"/>
      <c r="H473" s="26"/>
      <c r="I473" s="26"/>
      <c r="J473" s="26"/>
      <c r="K473" s="5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row>
    <row r="474" spans="1:34" ht="15.75" customHeight="1">
      <c r="A474" s="26"/>
      <c r="B474" s="26"/>
      <c r="C474" s="26"/>
      <c r="D474" s="26"/>
      <c r="E474" s="26"/>
      <c r="F474" s="26"/>
      <c r="G474" s="26"/>
      <c r="H474" s="26"/>
      <c r="I474" s="26"/>
      <c r="J474" s="26"/>
      <c r="K474" s="5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row>
    <row r="475" spans="1:34" ht="15.75" customHeight="1">
      <c r="A475" s="26"/>
      <c r="B475" s="26"/>
      <c r="C475" s="26"/>
      <c r="D475" s="26"/>
      <c r="E475" s="26"/>
      <c r="F475" s="26"/>
      <c r="G475" s="26"/>
      <c r="H475" s="26"/>
      <c r="I475" s="26"/>
      <c r="J475" s="26"/>
      <c r="K475" s="5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row>
    <row r="476" spans="1:34" ht="15.75" customHeight="1">
      <c r="A476" s="26"/>
      <c r="B476" s="26"/>
      <c r="C476" s="26"/>
      <c r="D476" s="26"/>
      <c r="E476" s="26"/>
      <c r="F476" s="26"/>
      <c r="G476" s="26"/>
      <c r="H476" s="26"/>
      <c r="I476" s="26"/>
      <c r="J476" s="26"/>
      <c r="K476" s="5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row>
    <row r="477" spans="1:34" ht="15.75" customHeight="1">
      <c r="A477" s="26"/>
      <c r="B477" s="26"/>
      <c r="C477" s="26"/>
      <c r="D477" s="26"/>
      <c r="E477" s="26"/>
      <c r="F477" s="26"/>
      <c r="G477" s="26"/>
      <c r="H477" s="26"/>
      <c r="I477" s="26"/>
      <c r="J477" s="26"/>
      <c r="K477" s="5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row>
    <row r="478" spans="1:34" ht="15.75" customHeight="1">
      <c r="A478" s="26"/>
      <c r="B478" s="26"/>
      <c r="C478" s="26"/>
      <c r="D478" s="26"/>
      <c r="E478" s="26"/>
      <c r="F478" s="26"/>
      <c r="G478" s="26"/>
      <c r="H478" s="26"/>
      <c r="I478" s="26"/>
      <c r="J478" s="26"/>
      <c r="K478" s="5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row>
    <row r="479" spans="1:34" ht="15.75" customHeight="1">
      <c r="A479" s="26"/>
      <c r="B479" s="26"/>
      <c r="C479" s="26"/>
      <c r="D479" s="26"/>
      <c r="E479" s="26"/>
      <c r="F479" s="26"/>
      <c r="G479" s="26"/>
      <c r="H479" s="26"/>
      <c r="I479" s="26"/>
      <c r="J479" s="26"/>
      <c r="K479" s="5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row>
    <row r="480" spans="1:34" ht="15.75" customHeight="1">
      <c r="A480" s="26"/>
      <c r="B480" s="26"/>
      <c r="C480" s="26"/>
      <c r="D480" s="26"/>
      <c r="E480" s="26"/>
      <c r="F480" s="26"/>
      <c r="G480" s="26"/>
      <c r="H480" s="26"/>
      <c r="I480" s="26"/>
      <c r="J480" s="26"/>
      <c r="K480" s="5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row>
    <row r="481" spans="1:34" ht="15.75" customHeight="1">
      <c r="A481" s="26"/>
      <c r="B481" s="26"/>
      <c r="C481" s="26"/>
      <c r="D481" s="26"/>
      <c r="E481" s="26"/>
      <c r="F481" s="26"/>
      <c r="G481" s="26"/>
      <c r="H481" s="26"/>
      <c r="I481" s="26"/>
      <c r="J481" s="26"/>
      <c r="K481" s="5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row>
    <row r="482" spans="1:34" ht="15.75" customHeight="1">
      <c r="A482" s="26"/>
      <c r="B482" s="26"/>
      <c r="C482" s="26"/>
      <c r="D482" s="26"/>
      <c r="E482" s="26"/>
      <c r="F482" s="26"/>
      <c r="G482" s="26"/>
      <c r="H482" s="26"/>
      <c r="I482" s="26"/>
      <c r="J482" s="26"/>
      <c r="K482" s="5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row>
    <row r="483" spans="1:34" ht="15.75" customHeight="1">
      <c r="A483" s="26"/>
      <c r="B483" s="26"/>
      <c r="C483" s="26"/>
      <c r="D483" s="26"/>
      <c r="E483" s="26"/>
      <c r="F483" s="26"/>
      <c r="G483" s="26"/>
      <c r="H483" s="26"/>
      <c r="I483" s="26"/>
      <c r="J483" s="26"/>
      <c r="K483" s="5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row>
    <row r="484" spans="1:34" ht="15.75" customHeight="1">
      <c r="A484" s="26"/>
      <c r="B484" s="26"/>
      <c r="C484" s="26"/>
      <c r="D484" s="26"/>
      <c r="E484" s="26"/>
      <c r="F484" s="26"/>
      <c r="G484" s="26"/>
      <c r="H484" s="26"/>
      <c r="I484" s="26"/>
      <c r="J484" s="26"/>
      <c r="K484" s="5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row>
    <row r="485" spans="1:34" ht="15.75" customHeight="1">
      <c r="A485" s="26"/>
      <c r="B485" s="26"/>
      <c r="C485" s="26"/>
      <c r="D485" s="26"/>
      <c r="E485" s="26"/>
      <c r="F485" s="26"/>
      <c r="G485" s="26"/>
      <c r="H485" s="26"/>
      <c r="I485" s="26"/>
      <c r="J485" s="26"/>
      <c r="K485" s="5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row>
    <row r="486" spans="1:34" ht="15.75" customHeight="1">
      <c r="A486" s="26"/>
      <c r="B486" s="26"/>
      <c r="C486" s="26"/>
      <c r="D486" s="26"/>
      <c r="E486" s="26"/>
      <c r="F486" s="26"/>
      <c r="G486" s="26"/>
      <c r="H486" s="26"/>
      <c r="I486" s="26"/>
      <c r="J486" s="26"/>
      <c r="K486" s="5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row>
    <row r="487" spans="1:34" ht="15.75" customHeight="1">
      <c r="A487" s="26"/>
      <c r="B487" s="26"/>
      <c r="C487" s="26"/>
      <c r="D487" s="26"/>
      <c r="E487" s="26"/>
      <c r="F487" s="26"/>
      <c r="G487" s="26"/>
      <c r="H487" s="26"/>
      <c r="I487" s="26"/>
      <c r="J487" s="26"/>
      <c r="K487" s="5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row>
    <row r="488" spans="1:34" ht="15.75" customHeight="1">
      <c r="A488" s="26"/>
      <c r="B488" s="26"/>
      <c r="C488" s="26"/>
      <c r="D488" s="26"/>
      <c r="E488" s="26"/>
      <c r="F488" s="26"/>
      <c r="G488" s="26"/>
      <c r="H488" s="26"/>
      <c r="I488" s="26"/>
      <c r="J488" s="26"/>
      <c r="K488" s="5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row>
    <row r="489" spans="1:34" ht="15.75" customHeight="1">
      <c r="A489" s="26"/>
      <c r="B489" s="26"/>
      <c r="C489" s="26"/>
      <c r="D489" s="26"/>
      <c r="E489" s="26"/>
      <c r="F489" s="26"/>
      <c r="G489" s="26"/>
      <c r="H489" s="26"/>
      <c r="I489" s="26"/>
      <c r="J489" s="26"/>
      <c r="K489" s="5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row>
    <row r="490" spans="1:34" ht="15.75" customHeight="1">
      <c r="A490" s="26"/>
      <c r="B490" s="26"/>
      <c r="C490" s="26"/>
      <c r="D490" s="26"/>
      <c r="E490" s="26"/>
      <c r="F490" s="26"/>
      <c r="G490" s="26"/>
      <c r="H490" s="26"/>
      <c r="I490" s="26"/>
      <c r="J490" s="26"/>
      <c r="K490" s="5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row>
    <row r="491" spans="1:34" ht="15.75" customHeight="1">
      <c r="A491" s="26"/>
      <c r="B491" s="26"/>
      <c r="C491" s="26"/>
      <c r="D491" s="26"/>
      <c r="E491" s="26"/>
      <c r="F491" s="26"/>
      <c r="G491" s="26"/>
      <c r="H491" s="26"/>
      <c r="I491" s="26"/>
      <c r="J491" s="26"/>
      <c r="K491" s="5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row>
    <row r="492" spans="1:34" ht="15.75" customHeight="1">
      <c r="A492" s="26"/>
      <c r="B492" s="26"/>
      <c r="C492" s="26"/>
      <c r="D492" s="26"/>
      <c r="E492" s="26"/>
      <c r="F492" s="26"/>
      <c r="G492" s="26"/>
      <c r="H492" s="26"/>
      <c r="I492" s="26"/>
      <c r="J492" s="26"/>
      <c r="K492" s="5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row>
    <row r="493" spans="1:34" ht="15.75" customHeight="1">
      <c r="A493" s="26"/>
      <c r="B493" s="26"/>
      <c r="C493" s="26"/>
      <c r="D493" s="26"/>
      <c r="E493" s="26"/>
      <c r="F493" s="26"/>
      <c r="G493" s="26"/>
      <c r="H493" s="26"/>
      <c r="I493" s="26"/>
      <c r="J493" s="26"/>
      <c r="K493" s="5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row>
    <row r="494" spans="1:34" ht="15.75" customHeight="1">
      <c r="A494" s="26"/>
      <c r="B494" s="26"/>
      <c r="C494" s="26"/>
      <c r="D494" s="26"/>
      <c r="E494" s="26"/>
      <c r="F494" s="26"/>
      <c r="G494" s="26"/>
      <c r="H494" s="26"/>
      <c r="I494" s="26"/>
      <c r="J494" s="26"/>
      <c r="K494" s="5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row>
    <row r="495" spans="1:34" ht="15.75" customHeight="1">
      <c r="A495" s="26"/>
      <c r="B495" s="26"/>
      <c r="C495" s="26"/>
      <c r="D495" s="26"/>
      <c r="E495" s="26"/>
      <c r="F495" s="26"/>
      <c r="G495" s="26"/>
      <c r="H495" s="26"/>
      <c r="I495" s="26"/>
      <c r="J495" s="26"/>
      <c r="K495" s="5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row>
    <row r="496" spans="1:34" ht="15.75" customHeight="1">
      <c r="A496" s="26"/>
      <c r="B496" s="26"/>
      <c r="C496" s="26"/>
      <c r="D496" s="26"/>
      <c r="E496" s="26"/>
      <c r="F496" s="26"/>
      <c r="G496" s="26"/>
      <c r="H496" s="26"/>
      <c r="I496" s="26"/>
      <c r="J496" s="26"/>
      <c r="K496" s="5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row>
    <row r="497" spans="1:34" ht="15.75" customHeight="1">
      <c r="A497" s="26"/>
      <c r="B497" s="26"/>
      <c r="C497" s="26"/>
      <c r="D497" s="26"/>
      <c r="E497" s="26"/>
      <c r="F497" s="26"/>
      <c r="G497" s="26"/>
      <c r="H497" s="26"/>
      <c r="I497" s="26"/>
      <c r="J497" s="26"/>
      <c r="K497" s="5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row>
    <row r="498" spans="1:34" ht="15.75" customHeight="1">
      <c r="A498" s="26"/>
      <c r="B498" s="26"/>
      <c r="C498" s="26"/>
      <c r="D498" s="26"/>
      <c r="E498" s="26"/>
      <c r="F498" s="26"/>
      <c r="G498" s="26"/>
      <c r="H498" s="26"/>
      <c r="I498" s="26"/>
      <c r="J498" s="26"/>
      <c r="K498" s="5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row>
    <row r="499" spans="1:34" ht="15.75" customHeight="1">
      <c r="A499" s="26"/>
      <c r="B499" s="26"/>
      <c r="C499" s="26"/>
      <c r="D499" s="26"/>
      <c r="E499" s="26"/>
      <c r="F499" s="26"/>
      <c r="G499" s="26"/>
      <c r="H499" s="26"/>
      <c r="I499" s="26"/>
      <c r="J499" s="26"/>
      <c r="K499" s="5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row>
    <row r="500" spans="1:34" ht="15.75" customHeight="1">
      <c r="A500" s="26"/>
      <c r="B500" s="26"/>
      <c r="C500" s="26"/>
      <c r="D500" s="26"/>
      <c r="E500" s="26"/>
      <c r="F500" s="26"/>
      <c r="G500" s="26"/>
      <c r="H500" s="26"/>
      <c r="I500" s="26"/>
      <c r="J500" s="26"/>
      <c r="K500" s="5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row>
    <row r="501" spans="1:34" ht="15.75" customHeight="1">
      <c r="A501" s="26"/>
      <c r="B501" s="26"/>
      <c r="C501" s="26"/>
      <c r="D501" s="26"/>
      <c r="E501" s="26"/>
      <c r="F501" s="26"/>
      <c r="G501" s="26"/>
      <c r="H501" s="26"/>
      <c r="I501" s="26"/>
      <c r="J501" s="26"/>
      <c r="K501" s="5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row>
    <row r="502" spans="1:34" ht="15.75" customHeight="1">
      <c r="A502" s="26"/>
      <c r="B502" s="26"/>
      <c r="C502" s="26"/>
      <c r="D502" s="26"/>
      <c r="E502" s="26"/>
      <c r="F502" s="26"/>
      <c r="G502" s="26"/>
      <c r="H502" s="26"/>
      <c r="I502" s="26"/>
      <c r="J502" s="26"/>
      <c r="K502" s="5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row>
    <row r="503" spans="1:34" ht="15.75" customHeight="1">
      <c r="A503" s="26"/>
      <c r="B503" s="26"/>
      <c r="C503" s="26"/>
      <c r="D503" s="26"/>
      <c r="E503" s="26"/>
      <c r="F503" s="26"/>
      <c r="G503" s="26"/>
      <c r="H503" s="26"/>
      <c r="I503" s="26"/>
      <c r="J503" s="26"/>
      <c r="K503" s="5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row>
    <row r="504" spans="1:34" ht="15.75" customHeight="1">
      <c r="A504" s="26"/>
      <c r="B504" s="26"/>
      <c r="C504" s="26"/>
      <c r="D504" s="26"/>
      <c r="E504" s="26"/>
      <c r="F504" s="26"/>
      <c r="G504" s="26"/>
      <c r="H504" s="26"/>
      <c r="I504" s="26"/>
      <c r="J504" s="26"/>
      <c r="K504" s="5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row>
    <row r="505" spans="1:34" ht="15.75" customHeight="1">
      <c r="A505" s="26"/>
      <c r="B505" s="26"/>
      <c r="C505" s="26"/>
      <c r="D505" s="26"/>
      <c r="E505" s="26"/>
      <c r="F505" s="26"/>
      <c r="G505" s="26"/>
      <c r="H505" s="26"/>
      <c r="I505" s="26"/>
      <c r="J505" s="26"/>
      <c r="K505" s="5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row>
    <row r="506" spans="1:34" ht="15.75" customHeight="1">
      <c r="A506" s="26"/>
      <c r="B506" s="26"/>
      <c r="C506" s="26"/>
      <c r="D506" s="26"/>
      <c r="E506" s="26"/>
      <c r="F506" s="26"/>
      <c r="G506" s="26"/>
      <c r="H506" s="26"/>
      <c r="I506" s="26"/>
      <c r="J506" s="26"/>
      <c r="K506" s="5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row>
    <row r="507" spans="1:34" ht="15.75" customHeight="1">
      <c r="A507" s="26"/>
      <c r="B507" s="26"/>
      <c r="C507" s="26"/>
      <c r="D507" s="26"/>
      <c r="E507" s="26"/>
      <c r="F507" s="26"/>
      <c r="G507" s="26"/>
      <c r="H507" s="26"/>
      <c r="I507" s="26"/>
      <c r="J507" s="26"/>
      <c r="K507" s="5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row>
    <row r="508" spans="1:34" ht="15.75" customHeight="1">
      <c r="A508" s="26"/>
      <c r="B508" s="26"/>
      <c r="C508" s="26"/>
      <c r="D508" s="26"/>
      <c r="E508" s="26"/>
      <c r="F508" s="26"/>
      <c r="G508" s="26"/>
      <c r="H508" s="26"/>
      <c r="I508" s="26"/>
      <c r="J508" s="26"/>
      <c r="K508" s="5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row>
    <row r="509" spans="1:34" ht="15.75" customHeight="1">
      <c r="A509" s="26"/>
      <c r="B509" s="26"/>
      <c r="C509" s="26"/>
      <c r="D509" s="26"/>
      <c r="E509" s="26"/>
      <c r="F509" s="26"/>
      <c r="G509" s="26"/>
      <c r="H509" s="26"/>
      <c r="I509" s="26"/>
      <c r="J509" s="26"/>
      <c r="K509" s="5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row>
    <row r="510" spans="1:34" ht="15.75" customHeight="1">
      <c r="A510" s="26"/>
      <c r="B510" s="26"/>
      <c r="C510" s="26"/>
      <c r="D510" s="26"/>
      <c r="E510" s="26"/>
      <c r="F510" s="26"/>
      <c r="G510" s="26"/>
      <c r="H510" s="26"/>
      <c r="I510" s="26"/>
      <c r="J510" s="26"/>
      <c r="K510" s="5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row>
    <row r="511" spans="1:34" ht="15.75" customHeight="1">
      <c r="A511" s="26"/>
      <c r="B511" s="26"/>
      <c r="C511" s="26"/>
      <c r="D511" s="26"/>
      <c r="E511" s="26"/>
      <c r="F511" s="26"/>
      <c r="G511" s="26"/>
      <c r="H511" s="26"/>
      <c r="I511" s="26"/>
      <c r="J511" s="26"/>
      <c r="K511" s="5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row>
    <row r="512" spans="1:34" ht="15.75" customHeight="1">
      <c r="A512" s="26"/>
      <c r="B512" s="26"/>
      <c r="C512" s="26"/>
      <c r="D512" s="26"/>
      <c r="E512" s="26"/>
      <c r="F512" s="26"/>
      <c r="G512" s="26"/>
      <c r="H512" s="26"/>
      <c r="I512" s="26"/>
      <c r="J512" s="26"/>
      <c r="K512" s="5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row>
    <row r="513" spans="1:34" ht="15.75" customHeight="1">
      <c r="A513" s="26"/>
      <c r="B513" s="26"/>
      <c r="C513" s="26"/>
      <c r="D513" s="26"/>
      <c r="E513" s="26"/>
      <c r="F513" s="26"/>
      <c r="G513" s="26"/>
      <c r="H513" s="26"/>
      <c r="I513" s="26"/>
      <c r="J513" s="26"/>
      <c r="K513" s="5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row>
    <row r="514" spans="1:34" ht="15.75" customHeight="1">
      <c r="A514" s="26"/>
      <c r="B514" s="26"/>
      <c r="C514" s="26"/>
      <c r="D514" s="26"/>
      <c r="E514" s="26"/>
      <c r="F514" s="26"/>
      <c r="G514" s="26"/>
      <c r="H514" s="26"/>
      <c r="I514" s="26"/>
      <c r="J514" s="26"/>
      <c r="K514" s="5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row>
    <row r="515" spans="1:34" ht="15.75" customHeight="1">
      <c r="A515" s="26"/>
      <c r="B515" s="26"/>
      <c r="C515" s="26"/>
      <c r="D515" s="26"/>
      <c r="E515" s="26"/>
      <c r="F515" s="26"/>
      <c r="G515" s="26"/>
      <c r="H515" s="26"/>
      <c r="I515" s="26"/>
      <c r="J515" s="26"/>
      <c r="K515" s="5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row>
    <row r="516" spans="1:34" ht="15.75" customHeight="1">
      <c r="A516" s="26"/>
      <c r="B516" s="26"/>
      <c r="C516" s="26"/>
      <c r="D516" s="26"/>
      <c r="E516" s="26"/>
      <c r="F516" s="26"/>
      <c r="G516" s="26"/>
      <c r="H516" s="26"/>
      <c r="I516" s="26"/>
      <c r="J516" s="26"/>
      <c r="K516" s="5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row>
    <row r="517" spans="1:34" ht="15.75" customHeight="1">
      <c r="A517" s="26"/>
      <c r="B517" s="26"/>
      <c r="C517" s="26"/>
      <c r="D517" s="26"/>
      <c r="E517" s="26"/>
      <c r="F517" s="26"/>
      <c r="G517" s="26"/>
      <c r="H517" s="26"/>
      <c r="I517" s="26"/>
      <c r="J517" s="26"/>
      <c r="K517" s="5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row>
    <row r="518" spans="1:34" ht="15.75" customHeight="1">
      <c r="A518" s="26"/>
      <c r="B518" s="26"/>
      <c r="C518" s="26"/>
      <c r="D518" s="26"/>
      <c r="E518" s="26"/>
      <c r="F518" s="26"/>
      <c r="G518" s="26"/>
      <c r="H518" s="26"/>
      <c r="I518" s="26"/>
      <c r="J518" s="26"/>
      <c r="K518" s="5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row>
    <row r="519" spans="1:34" ht="15.75" customHeight="1">
      <c r="A519" s="26"/>
      <c r="B519" s="26"/>
      <c r="C519" s="26"/>
      <c r="D519" s="26"/>
      <c r="E519" s="26"/>
      <c r="F519" s="26"/>
      <c r="G519" s="26"/>
      <c r="H519" s="26"/>
      <c r="I519" s="26"/>
      <c r="J519" s="26"/>
      <c r="K519" s="5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row>
    <row r="520" spans="1:34" ht="15.75" customHeight="1">
      <c r="A520" s="26"/>
      <c r="B520" s="26"/>
      <c r="C520" s="26"/>
      <c r="D520" s="26"/>
      <c r="E520" s="26"/>
      <c r="F520" s="26"/>
      <c r="G520" s="26"/>
      <c r="H520" s="26"/>
      <c r="I520" s="26"/>
      <c r="J520" s="26"/>
      <c r="K520" s="5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row>
    <row r="521" spans="1:34" ht="15.75" customHeight="1">
      <c r="A521" s="26"/>
      <c r="B521" s="26"/>
      <c r="C521" s="26"/>
      <c r="D521" s="26"/>
      <c r="E521" s="26"/>
      <c r="F521" s="26"/>
      <c r="G521" s="26"/>
      <c r="H521" s="26"/>
      <c r="I521" s="26"/>
      <c r="J521" s="26"/>
      <c r="K521" s="5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row>
    <row r="522" spans="1:34" ht="15.75" customHeight="1">
      <c r="A522" s="26"/>
      <c r="B522" s="26"/>
      <c r="C522" s="26"/>
      <c r="D522" s="26"/>
      <c r="E522" s="26"/>
      <c r="F522" s="26"/>
      <c r="G522" s="26"/>
      <c r="H522" s="26"/>
      <c r="I522" s="26"/>
      <c r="J522" s="26"/>
      <c r="K522" s="5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row>
    <row r="523" spans="1:34" ht="15.75" customHeight="1">
      <c r="A523" s="26"/>
      <c r="B523" s="26"/>
      <c r="C523" s="26"/>
      <c r="D523" s="26"/>
      <c r="E523" s="26"/>
      <c r="F523" s="26"/>
      <c r="G523" s="26"/>
      <c r="H523" s="26"/>
      <c r="I523" s="26"/>
      <c r="J523" s="26"/>
      <c r="K523" s="5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row>
    <row r="524" spans="1:34" ht="15.75" customHeight="1">
      <c r="A524" s="26"/>
      <c r="B524" s="26"/>
      <c r="C524" s="26"/>
      <c r="D524" s="26"/>
      <c r="E524" s="26"/>
      <c r="F524" s="26"/>
      <c r="G524" s="26"/>
      <c r="H524" s="26"/>
      <c r="I524" s="26"/>
      <c r="J524" s="26"/>
      <c r="K524" s="5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row>
    <row r="525" spans="1:34" ht="15.75" customHeight="1">
      <c r="A525" s="26"/>
      <c r="B525" s="26"/>
      <c r="C525" s="26"/>
      <c r="D525" s="26"/>
      <c r="E525" s="26"/>
      <c r="F525" s="26"/>
      <c r="G525" s="26"/>
      <c r="H525" s="26"/>
      <c r="I525" s="26"/>
      <c r="J525" s="26"/>
      <c r="K525" s="5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row>
    <row r="526" spans="1:34" ht="15.75" customHeight="1">
      <c r="A526" s="26"/>
      <c r="B526" s="26"/>
      <c r="C526" s="26"/>
      <c r="D526" s="26"/>
      <c r="E526" s="26"/>
      <c r="F526" s="26"/>
      <c r="G526" s="26"/>
      <c r="H526" s="26"/>
      <c r="I526" s="26"/>
      <c r="J526" s="26"/>
      <c r="K526" s="5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row>
    <row r="527" spans="1:34" ht="15.75" customHeight="1">
      <c r="A527" s="26"/>
      <c r="B527" s="26"/>
      <c r="C527" s="26"/>
      <c r="D527" s="26"/>
      <c r="E527" s="26"/>
      <c r="F527" s="26"/>
      <c r="G527" s="26"/>
      <c r="H527" s="26"/>
      <c r="I527" s="26"/>
      <c r="J527" s="26"/>
      <c r="K527" s="5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row>
    <row r="528" spans="1:34" ht="15.75" customHeight="1">
      <c r="A528" s="26"/>
      <c r="B528" s="26"/>
      <c r="C528" s="26"/>
      <c r="D528" s="26"/>
      <c r="E528" s="26"/>
      <c r="F528" s="26"/>
      <c r="G528" s="26"/>
      <c r="H528" s="26"/>
      <c r="I528" s="26"/>
      <c r="J528" s="26"/>
      <c r="K528" s="5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row>
    <row r="529" spans="1:34" ht="15.75" customHeight="1">
      <c r="A529" s="26"/>
      <c r="B529" s="26"/>
      <c r="C529" s="26"/>
      <c r="D529" s="26"/>
      <c r="E529" s="26"/>
      <c r="F529" s="26"/>
      <c r="G529" s="26"/>
      <c r="H529" s="26"/>
      <c r="I529" s="26"/>
      <c r="J529" s="26"/>
      <c r="K529" s="5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row>
    <row r="530" spans="1:34" ht="15.75" customHeight="1">
      <c r="A530" s="26"/>
      <c r="B530" s="26"/>
      <c r="C530" s="26"/>
      <c r="D530" s="26"/>
      <c r="E530" s="26"/>
      <c r="F530" s="26"/>
      <c r="G530" s="26"/>
      <c r="H530" s="26"/>
      <c r="I530" s="26"/>
      <c r="J530" s="26"/>
      <c r="K530" s="5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row>
    <row r="531" spans="1:34" ht="15.75" customHeight="1">
      <c r="A531" s="26"/>
      <c r="B531" s="26"/>
      <c r="C531" s="26"/>
      <c r="D531" s="26"/>
      <c r="E531" s="26"/>
      <c r="F531" s="26"/>
      <c r="G531" s="26"/>
      <c r="H531" s="26"/>
      <c r="I531" s="26"/>
      <c r="J531" s="26"/>
      <c r="K531" s="5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row>
    <row r="532" spans="1:34" ht="15.75" customHeight="1">
      <c r="A532" s="26"/>
      <c r="B532" s="26"/>
      <c r="C532" s="26"/>
      <c r="D532" s="26"/>
      <c r="E532" s="26"/>
      <c r="F532" s="26"/>
      <c r="G532" s="26"/>
      <c r="H532" s="26"/>
      <c r="I532" s="26"/>
      <c r="J532" s="26"/>
      <c r="K532" s="5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row>
    <row r="533" spans="1:34" ht="15.75" customHeight="1">
      <c r="A533" s="26"/>
      <c r="B533" s="26"/>
      <c r="C533" s="26"/>
      <c r="D533" s="26"/>
      <c r="E533" s="26"/>
      <c r="F533" s="26"/>
      <c r="G533" s="26"/>
      <c r="H533" s="26"/>
      <c r="I533" s="26"/>
      <c r="J533" s="26"/>
      <c r="K533" s="5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row>
    <row r="534" spans="1:34" ht="15.75" customHeight="1">
      <c r="A534" s="26"/>
      <c r="B534" s="26"/>
      <c r="C534" s="26"/>
      <c r="D534" s="26"/>
      <c r="E534" s="26"/>
      <c r="F534" s="26"/>
      <c r="G534" s="26"/>
      <c r="H534" s="26"/>
      <c r="I534" s="26"/>
      <c r="J534" s="26"/>
      <c r="K534" s="5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row>
    <row r="535" spans="1:34" ht="15.75" customHeight="1">
      <c r="A535" s="26"/>
      <c r="B535" s="26"/>
      <c r="C535" s="26"/>
      <c r="D535" s="26"/>
      <c r="E535" s="26"/>
      <c r="F535" s="26"/>
      <c r="G535" s="26"/>
      <c r="H535" s="26"/>
      <c r="I535" s="26"/>
      <c r="J535" s="26"/>
      <c r="K535" s="5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row>
    <row r="536" spans="1:34" ht="15.75" customHeight="1">
      <c r="A536" s="26"/>
      <c r="B536" s="26"/>
      <c r="C536" s="26"/>
      <c r="D536" s="26"/>
      <c r="E536" s="26"/>
      <c r="F536" s="26"/>
      <c r="G536" s="26"/>
      <c r="H536" s="26"/>
      <c r="I536" s="26"/>
      <c r="J536" s="26"/>
      <c r="K536" s="5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row>
    <row r="537" spans="1:34" ht="15.75" customHeight="1">
      <c r="A537" s="26"/>
      <c r="B537" s="26"/>
      <c r="C537" s="26"/>
      <c r="D537" s="26"/>
      <c r="E537" s="26"/>
      <c r="F537" s="26"/>
      <c r="G537" s="26"/>
      <c r="H537" s="26"/>
      <c r="I537" s="26"/>
      <c r="J537" s="26"/>
      <c r="K537" s="5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row>
    <row r="538" spans="1:34" ht="15.75" customHeight="1">
      <c r="A538" s="26"/>
      <c r="B538" s="26"/>
      <c r="C538" s="26"/>
      <c r="D538" s="26"/>
      <c r="E538" s="26"/>
      <c r="F538" s="26"/>
      <c r="G538" s="26"/>
      <c r="H538" s="26"/>
      <c r="I538" s="26"/>
      <c r="J538" s="26"/>
      <c r="K538" s="5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row>
    <row r="539" spans="1:34" ht="15.75" customHeight="1">
      <c r="A539" s="26"/>
      <c r="B539" s="26"/>
      <c r="C539" s="26"/>
      <c r="D539" s="26"/>
      <c r="E539" s="26"/>
      <c r="F539" s="26"/>
      <c r="G539" s="26"/>
      <c r="H539" s="26"/>
      <c r="I539" s="26"/>
      <c r="J539" s="26"/>
      <c r="K539" s="5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row>
    <row r="540" spans="1:34" ht="15.75" customHeight="1">
      <c r="A540" s="26"/>
      <c r="B540" s="26"/>
      <c r="C540" s="26"/>
      <c r="D540" s="26"/>
      <c r="E540" s="26"/>
      <c r="F540" s="26"/>
      <c r="G540" s="26"/>
      <c r="H540" s="26"/>
      <c r="I540" s="26"/>
      <c r="J540" s="26"/>
      <c r="K540" s="5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row>
    <row r="541" spans="1:34" ht="15.75" customHeight="1">
      <c r="A541" s="26"/>
      <c r="B541" s="26"/>
      <c r="C541" s="26"/>
      <c r="D541" s="26"/>
      <c r="E541" s="26"/>
      <c r="F541" s="26"/>
      <c r="G541" s="26"/>
      <c r="H541" s="26"/>
      <c r="I541" s="26"/>
      <c r="J541" s="26"/>
      <c r="K541" s="5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row>
    <row r="542" spans="1:34" ht="15.75" customHeight="1">
      <c r="A542" s="26"/>
      <c r="B542" s="26"/>
      <c r="C542" s="26"/>
      <c r="D542" s="26"/>
      <c r="E542" s="26"/>
      <c r="F542" s="26"/>
      <c r="G542" s="26"/>
      <c r="H542" s="26"/>
      <c r="I542" s="26"/>
      <c r="J542" s="26"/>
      <c r="K542" s="5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row>
    <row r="543" spans="1:34" ht="15.75" customHeight="1">
      <c r="A543" s="26"/>
      <c r="B543" s="26"/>
      <c r="C543" s="26"/>
      <c r="D543" s="26"/>
      <c r="E543" s="26"/>
      <c r="F543" s="26"/>
      <c r="G543" s="26"/>
      <c r="H543" s="26"/>
      <c r="I543" s="26"/>
      <c r="J543" s="26"/>
      <c r="K543" s="5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row>
    <row r="544" spans="1:34" ht="15.75" customHeight="1">
      <c r="A544" s="26"/>
      <c r="B544" s="26"/>
      <c r="C544" s="26"/>
      <c r="D544" s="26"/>
      <c r="E544" s="26"/>
      <c r="F544" s="26"/>
      <c r="G544" s="26"/>
      <c r="H544" s="26"/>
      <c r="I544" s="26"/>
      <c r="J544" s="26"/>
      <c r="K544" s="5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row>
    <row r="545" spans="1:34" ht="15.75" customHeight="1">
      <c r="A545" s="26"/>
      <c r="B545" s="26"/>
      <c r="C545" s="26"/>
      <c r="D545" s="26"/>
      <c r="E545" s="26"/>
      <c r="F545" s="26"/>
      <c r="G545" s="26"/>
      <c r="H545" s="26"/>
      <c r="I545" s="26"/>
      <c r="J545" s="26"/>
      <c r="K545" s="5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row>
    <row r="546" spans="1:34" ht="15.75" customHeight="1">
      <c r="A546" s="26"/>
      <c r="B546" s="26"/>
      <c r="C546" s="26"/>
      <c r="D546" s="26"/>
      <c r="E546" s="26"/>
      <c r="F546" s="26"/>
      <c r="G546" s="26"/>
      <c r="H546" s="26"/>
      <c r="I546" s="26"/>
      <c r="J546" s="26"/>
      <c r="K546" s="5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row>
    <row r="547" spans="1:34" ht="15.75" customHeight="1">
      <c r="A547" s="26"/>
      <c r="B547" s="26"/>
      <c r="C547" s="26"/>
      <c r="D547" s="26"/>
      <c r="E547" s="26"/>
      <c r="F547" s="26"/>
      <c r="G547" s="26"/>
      <c r="H547" s="26"/>
      <c r="I547" s="26"/>
      <c r="J547" s="26"/>
      <c r="K547" s="5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row>
    <row r="548" spans="1:34" ht="15.75" customHeight="1">
      <c r="A548" s="26"/>
      <c r="B548" s="26"/>
      <c r="C548" s="26"/>
      <c r="D548" s="26"/>
      <c r="E548" s="26"/>
      <c r="F548" s="26"/>
      <c r="G548" s="26"/>
      <c r="H548" s="26"/>
      <c r="I548" s="26"/>
      <c r="J548" s="26"/>
      <c r="K548" s="5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row>
    <row r="549" spans="1:34" ht="15.75" customHeight="1">
      <c r="A549" s="26"/>
      <c r="B549" s="26"/>
      <c r="C549" s="26"/>
      <c r="D549" s="26"/>
      <c r="E549" s="26"/>
      <c r="F549" s="26"/>
      <c r="G549" s="26"/>
      <c r="H549" s="26"/>
      <c r="I549" s="26"/>
      <c r="J549" s="26"/>
      <c r="K549" s="5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row>
    <row r="550" spans="1:34" ht="15.75" customHeight="1">
      <c r="A550" s="26"/>
      <c r="B550" s="26"/>
      <c r="C550" s="26"/>
      <c r="D550" s="26"/>
      <c r="E550" s="26"/>
      <c r="F550" s="26"/>
      <c r="G550" s="26"/>
      <c r="H550" s="26"/>
      <c r="I550" s="26"/>
      <c r="J550" s="26"/>
      <c r="K550" s="5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row>
    <row r="551" spans="1:34" ht="15.75" customHeight="1">
      <c r="A551" s="26"/>
      <c r="B551" s="26"/>
      <c r="C551" s="26"/>
      <c r="D551" s="26"/>
      <c r="E551" s="26"/>
      <c r="F551" s="26"/>
      <c r="G551" s="26"/>
      <c r="H551" s="26"/>
      <c r="I551" s="26"/>
      <c r="J551" s="26"/>
      <c r="K551" s="5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row>
    <row r="552" spans="1:34" ht="15.75" customHeight="1">
      <c r="A552" s="26"/>
      <c r="B552" s="26"/>
      <c r="C552" s="26"/>
      <c r="D552" s="26"/>
      <c r="E552" s="26"/>
      <c r="F552" s="26"/>
      <c r="G552" s="26"/>
      <c r="H552" s="26"/>
      <c r="I552" s="26"/>
      <c r="J552" s="26"/>
      <c r="K552" s="5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row>
    <row r="553" spans="1:34" ht="15.75" customHeight="1">
      <c r="A553" s="26"/>
      <c r="B553" s="26"/>
      <c r="C553" s="26"/>
      <c r="D553" s="26"/>
      <c r="E553" s="26"/>
      <c r="F553" s="26"/>
      <c r="G553" s="26"/>
      <c r="H553" s="26"/>
      <c r="I553" s="26"/>
      <c r="J553" s="26"/>
      <c r="K553" s="5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row>
    <row r="554" spans="1:34" ht="15.75" customHeight="1">
      <c r="A554" s="26"/>
      <c r="B554" s="26"/>
      <c r="C554" s="26"/>
      <c r="D554" s="26"/>
      <c r="E554" s="26"/>
      <c r="F554" s="26"/>
      <c r="G554" s="26"/>
      <c r="H554" s="26"/>
      <c r="I554" s="26"/>
      <c r="J554" s="26"/>
      <c r="K554" s="5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row>
    <row r="555" spans="1:34" ht="15.75" customHeight="1">
      <c r="A555" s="26"/>
      <c r="B555" s="26"/>
      <c r="C555" s="26"/>
      <c r="D555" s="26"/>
      <c r="E555" s="26"/>
      <c r="F555" s="26"/>
      <c r="G555" s="26"/>
      <c r="H555" s="26"/>
      <c r="I555" s="26"/>
      <c r="J555" s="26"/>
      <c r="K555" s="5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row>
    <row r="556" spans="1:34" ht="15.75" customHeight="1">
      <c r="A556" s="26"/>
      <c r="B556" s="26"/>
      <c r="C556" s="26"/>
      <c r="D556" s="26"/>
      <c r="E556" s="26"/>
      <c r="F556" s="26"/>
      <c r="G556" s="26"/>
      <c r="H556" s="26"/>
      <c r="I556" s="26"/>
      <c r="J556" s="26"/>
      <c r="K556" s="5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row>
    <row r="557" spans="1:34" ht="15.75" customHeight="1">
      <c r="A557" s="26"/>
      <c r="B557" s="26"/>
      <c r="C557" s="26"/>
      <c r="D557" s="26"/>
      <c r="E557" s="26"/>
      <c r="F557" s="26"/>
      <c r="G557" s="26"/>
      <c r="H557" s="26"/>
      <c r="I557" s="26"/>
      <c r="J557" s="26"/>
      <c r="K557" s="5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row>
    <row r="558" spans="1:34" ht="15.75" customHeight="1">
      <c r="A558" s="26"/>
      <c r="B558" s="26"/>
      <c r="C558" s="26"/>
      <c r="D558" s="26"/>
      <c r="E558" s="26"/>
      <c r="F558" s="26"/>
      <c r="G558" s="26"/>
      <c r="H558" s="26"/>
      <c r="I558" s="26"/>
      <c r="J558" s="26"/>
      <c r="K558" s="5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row>
    <row r="559" spans="1:34" ht="15.75" customHeight="1">
      <c r="A559" s="26"/>
      <c r="B559" s="26"/>
      <c r="C559" s="26"/>
      <c r="D559" s="26"/>
      <c r="E559" s="26"/>
      <c r="F559" s="26"/>
      <c r="G559" s="26"/>
      <c r="H559" s="26"/>
      <c r="I559" s="26"/>
      <c r="J559" s="26"/>
      <c r="K559" s="5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row>
    <row r="560" spans="1:34" ht="15.75" customHeight="1">
      <c r="A560" s="26"/>
      <c r="B560" s="26"/>
      <c r="C560" s="26"/>
      <c r="D560" s="26"/>
      <c r="E560" s="26"/>
      <c r="F560" s="26"/>
      <c r="G560" s="26"/>
      <c r="H560" s="26"/>
      <c r="I560" s="26"/>
      <c r="J560" s="26"/>
      <c r="K560" s="5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row>
    <row r="561" spans="1:34" ht="15.75" customHeight="1">
      <c r="A561" s="26"/>
      <c r="B561" s="26"/>
      <c r="C561" s="26"/>
      <c r="D561" s="26"/>
      <c r="E561" s="26"/>
      <c r="F561" s="26"/>
      <c r="G561" s="26"/>
      <c r="H561" s="26"/>
      <c r="I561" s="26"/>
      <c r="J561" s="26"/>
      <c r="K561" s="5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row>
    <row r="562" spans="1:34" ht="15.75" customHeight="1">
      <c r="A562" s="26"/>
      <c r="B562" s="26"/>
      <c r="C562" s="26"/>
      <c r="D562" s="26"/>
      <c r="E562" s="26"/>
      <c r="F562" s="26"/>
      <c r="G562" s="26"/>
      <c r="H562" s="26"/>
      <c r="I562" s="26"/>
      <c r="J562" s="26"/>
      <c r="K562" s="5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row>
    <row r="563" spans="1:34" ht="15.75" customHeight="1">
      <c r="A563" s="26"/>
      <c r="B563" s="26"/>
      <c r="C563" s="26"/>
      <c r="D563" s="26"/>
      <c r="E563" s="26"/>
      <c r="F563" s="26"/>
      <c r="G563" s="26"/>
      <c r="H563" s="26"/>
      <c r="I563" s="26"/>
      <c r="J563" s="26"/>
      <c r="K563" s="5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row>
    <row r="564" spans="1:34" ht="15.75" customHeight="1">
      <c r="A564" s="26"/>
      <c r="B564" s="26"/>
      <c r="C564" s="26"/>
      <c r="D564" s="26"/>
      <c r="E564" s="26"/>
      <c r="F564" s="26"/>
      <c r="G564" s="26"/>
      <c r="H564" s="26"/>
      <c r="I564" s="26"/>
      <c r="J564" s="26"/>
      <c r="K564" s="5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row>
    <row r="565" spans="1:34" ht="15.75" customHeight="1">
      <c r="A565" s="26"/>
      <c r="B565" s="26"/>
      <c r="C565" s="26"/>
      <c r="D565" s="26"/>
      <c r="E565" s="26"/>
      <c r="F565" s="26"/>
      <c r="G565" s="26"/>
      <c r="H565" s="26"/>
      <c r="I565" s="26"/>
      <c r="J565" s="26"/>
      <c r="K565" s="5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row>
    <row r="566" spans="1:34" ht="15.75" customHeight="1">
      <c r="A566" s="26"/>
      <c r="B566" s="26"/>
      <c r="C566" s="26"/>
      <c r="D566" s="26"/>
      <c r="E566" s="26"/>
      <c r="F566" s="26"/>
      <c r="G566" s="26"/>
      <c r="H566" s="26"/>
      <c r="I566" s="26"/>
      <c r="J566" s="26"/>
      <c r="K566" s="5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row>
    <row r="567" spans="1:34" ht="15.75" customHeight="1">
      <c r="A567" s="26"/>
      <c r="B567" s="26"/>
      <c r="C567" s="26"/>
      <c r="D567" s="26"/>
      <c r="E567" s="26"/>
      <c r="F567" s="26"/>
      <c r="G567" s="26"/>
      <c r="H567" s="26"/>
      <c r="I567" s="26"/>
      <c r="J567" s="26"/>
      <c r="K567" s="5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row>
    <row r="568" spans="1:34" ht="15.75" customHeight="1">
      <c r="A568" s="26"/>
      <c r="B568" s="26"/>
      <c r="C568" s="26"/>
      <c r="D568" s="26"/>
      <c r="E568" s="26"/>
      <c r="F568" s="26"/>
      <c r="G568" s="26"/>
      <c r="H568" s="26"/>
      <c r="I568" s="26"/>
      <c r="J568" s="26"/>
      <c r="K568" s="56"/>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row>
    <row r="569" spans="1:34" ht="15.75" customHeight="1">
      <c r="A569" s="26"/>
      <c r="B569" s="26"/>
      <c r="C569" s="26"/>
      <c r="D569" s="26"/>
      <c r="E569" s="26"/>
      <c r="F569" s="26"/>
      <c r="G569" s="26"/>
      <c r="H569" s="26"/>
      <c r="I569" s="26"/>
      <c r="J569" s="26"/>
      <c r="K569" s="5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row>
    <row r="570" spans="1:34" ht="15.75" customHeight="1">
      <c r="A570" s="26"/>
      <c r="B570" s="26"/>
      <c r="C570" s="26"/>
      <c r="D570" s="26"/>
      <c r="E570" s="26"/>
      <c r="F570" s="26"/>
      <c r="G570" s="26"/>
      <c r="H570" s="26"/>
      <c r="I570" s="26"/>
      <c r="J570" s="26"/>
      <c r="K570" s="5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row>
    <row r="571" spans="1:34" ht="15.75" customHeight="1">
      <c r="A571" s="26"/>
      <c r="B571" s="26"/>
      <c r="C571" s="26"/>
      <c r="D571" s="26"/>
      <c r="E571" s="26"/>
      <c r="F571" s="26"/>
      <c r="G571" s="26"/>
      <c r="H571" s="26"/>
      <c r="I571" s="26"/>
      <c r="J571" s="26"/>
      <c r="K571" s="5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row>
    <row r="572" spans="1:34" ht="15.75" customHeight="1">
      <c r="A572" s="26"/>
      <c r="B572" s="26"/>
      <c r="C572" s="26"/>
      <c r="D572" s="26"/>
      <c r="E572" s="26"/>
      <c r="F572" s="26"/>
      <c r="G572" s="26"/>
      <c r="H572" s="26"/>
      <c r="I572" s="26"/>
      <c r="J572" s="26"/>
      <c r="K572" s="5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row>
    <row r="573" spans="1:34" ht="15.75" customHeight="1">
      <c r="A573" s="26"/>
      <c r="B573" s="26"/>
      <c r="C573" s="26"/>
      <c r="D573" s="26"/>
      <c r="E573" s="26"/>
      <c r="F573" s="26"/>
      <c r="G573" s="26"/>
      <c r="H573" s="26"/>
      <c r="I573" s="26"/>
      <c r="J573" s="26"/>
      <c r="K573" s="5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row>
    <row r="574" spans="1:34" ht="15.75" customHeight="1">
      <c r="A574" s="26"/>
      <c r="B574" s="26"/>
      <c r="C574" s="26"/>
      <c r="D574" s="26"/>
      <c r="E574" s="26"/>
      <c r="F574" s="26"/>
      <c r="G574" s="26"/>
      <c r="H574" s="26"/>
      <c r="I574" s="26"/>
      <c r="J574" s="26"/>
      <c r="K574" s="5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row>
    <row r="575" spans="1:34" ht="15.75" customHeight="1">
      <c r="A575" s="26"/>
      <c r="B575" s="26"/>
      <c r="C575" s="26"/>
      <c r="D575" s="26"/>
      <c r="E575" s="26"/>
      <c r="F575" s="26"/>
      <c r="G575" s="26"/>
      <c r="H575" s="26"/>
      <c r="I575" s="26"/>
      <c r="J575" s="26"/>
      <c r="K575" s="5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row>
    <row r="576" spans="1:34" ht="15.75" customHeight="1">
      <c r="A576" s="26"/>
      <c r="B576" s="26"/>
      <c r="C576" s="26"/>
      <c r="D576" s="26"/>
      <c r="E576" s="26"/>
      <c r="F576" s="26"/>
      <c r="G576" s="26"/>
      <c r="H576" s="26"/>
      <c r="I576" s="26"/>
      <c r="J576" s="26"/>
      <c r="K576" s="5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row>
    <row r="577" spans="1:34" ht="15.75" customHeight="1">
      <c r="A577" s="26"/>
      <c r="B577" s="26"/>
      <c r="C577" s="26"/>
      <c r="D577" s="26"/>
      <c r="E577" s="26"/>
      <c r="F577" s="26"/>
      <c r="G577" s="26"/>
      <c r="H577" s="26"/>
      <c r="I577" s="26"/>
      <c r="J577" s="26"/>
      <c r="K577" s="5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row>
    <row r="578" spans="1:34" ht="15.75" customHeight="1">
      <c r="A578" s="26"/>
      <c r="B578" s="26"/>
      <c r="C578" s="26"/>
      <c r="D578" s="26"/>
      <c r="E578" s="26"/>
      <c r="F578" s="26"/>
      <c r="G578" s="26"/>
      <c r="H578" s="26"/>
      <c r="I578" s="26"/>
      <c r="J578" s="26"/>
      <c r="K578" s="5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row>
    <row r="579" spans="1:34" ht="15.75" customHeight="1">
      <c r="A579" s="26"/>
      <c r="B579" s="26"/>
      <c r="C579" s="26"/>
      <c r="D579" s="26"/>
      <c r="E579" s="26"/>
      <c r="F579" s="26"/>
      <c r="G579" s="26"/>
      <c r="H579" s="26"/>
      <c r="I579" s="26"/>
      <c r="J579" s="26"/>
      <c r="K579" s="5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row>
    <row r="580" spans="1:34" ht="15.75" customHeight="1">
      <c r="A580" s="26"/>
      <c r="B580" s="26"/>
      <c r="C580" s="26"/>
      <c r="D580" s="26"/>
      <c r="E580" s="26"/>
      <c r="F580" s="26"/>
      <c r="G580" s="26"/>
      <c r="H580" s="26"/>
      <c r="I580" s="26"/>
      <c r="J580" s="26"/>
      <c r="K580" s="5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row>
    <row r="581" spans="1:34" ht="15.75" customHeight="1">
      <c r="A581" s="26"/>
      <c r="B581" s="26"/>
      <c r="C581" s="26"/>
      <c r="D581" s="26"/>
      <c r="E581" s="26"/>
      <c r="F581" s="26"/>
      <c r="G581" s="26"/>
      <c r="H581" s="26"/>
      <c r="I581" s="26"/>
      <c r="J581" s="26"/>
      <c r="K581" s="5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row>
    <row r="582" spans="1:34" ht="15.75" customHeight="1">
      <c r="A582" s="26"/>
      <c r="B582" s="26"/>
      <c r="C582" s="26"/>
      <c r="D582" s="26"/>
      <c r="E582" s="26"/>
      <c r="F582" s="26"/>
      <c r="G582" s="26"/>
      <c r="H582" s="26"/>
      <c r="I582" s="26"/>
      <c r="J582" s="26"/>
      <c r="K582" s="5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row>
    <row r="583" spans="1:34" ht="15.75" customHeight="1">
      <c r="A583" s="26"/>
      <c r="B583" s="26"/>
      <c r="C583" s="26"/>
      <c r="D583" s="26"/>
      <c r="E583" s="26"/>
      <c r="F583" s="26"/>
      <c r="G583" s="26"/>
      <c r="H583" s="26"/>
      <c r="I583" s="26"/>
      <c r="J583" s="26"/>
      <c r="K583" s="5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row>
    <row r="584" spans="1:34" ht="15.75" customHeight="1">
      <c r="A584" s="26"/>
      <c r="B584" s="26"/>
      <c r="C584" s="26"/>
      <c r="D584" s="26"/>
      <c r="E584" s="26"/>
      <c r="F584" s="26"/>
      <c r="G584" s="26"/>
      <c r="H584" s="26"/>
      <c r="I584" s="26"/>
      <c r="J584" s="26"/>
      <c r="K584" s="5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row>
    <row r="585" spans="1:34" ht="15.75" customHeight="1">
      <c r="A585" s="26"/>
      <c r="B585" s="26"/>
      <c r="C585" s="26"/>
      <c r="D585" s="26"/>
      <c r="E585" s="26"/>
      <c r="F585" s="26"/>
      <c r="G585" s="26"/>
      <c r="H585" s="26"/>
      <c r="I585" s="26"/>
      <c r="J585" s="26"/>
      <c r="K585" s="5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row>
    <row r="586" spans="1:34" ht="15.75" customHeight="1">
      <c r="A586" s="26"/>
      <c r="B586" s="26"/>
      <c r="C586" s="26"/>
      <c r="D586" s="26"/>
      <c r="E586" s="26"/>
      <c r="F586" s="26"/>
      <c r="G586" s="26"/>
      <c r="H586" s="26"/>
      <c r="I586" s="26"/>
      <c r="J586" s="26"/>
      <c r="K586" s="5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row>
    <row r="587" spans="1:34" ht="15.75" customHeight="1">
      <c r="A587" s="26"/>
      <c r="B587" s="26"/>
      <c r="C587" s="26"/>
      <c r="D587" s="26"/>
      <c r="E587" s="26"/>
      <c r="F587" s="26"/>
      <c r="G587" s="26"/>
      <c r="H587" s="26"/>
      <c r="I587" s="26"/>
      <c r="J587" s="26"/>
      <c r="K587" s="5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row>
    <row r="588" spans="1:34" ht="15.75" customHeight="1">
      <c r="A588" s="26"/>
      <c r="B588" s="26"/>
      <c r="C588" s="26"/>
      <c r="D588" s="26"/>
      <c r="E588" s="26"/>
      <c r="F588" s="26"/>
      <c r="G588" s="26"/>
      <c r="H588" s="26"/>
      <c r="I588" s="26"/>
      <c r="J588" s="26"/>
      <c r="K588" s="5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row>
    <row r="589" spans="1:34" ht="15.75" customHeight="1">
      <c r="A589" s="26"/>
      <c r="B589" s="26"/>
      <c r="C589" s="26"/>
      <c r="D589" s="26"/>
      <c r="E589" s="26"/>
      <c r="F589" s="26"/>
      <c r="G589" s="26"/>
      <c r="H589" s="26"/>
      <c r="I589" s="26"/>
      <c r="J589" s="26"/>
      <c r="K589" s="5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row>
    <row r="590" spans="1:34" ht="15.75" customHeight="1">
      <c r="A590" s="26"/>
      <c r="B590" s="26"/>
      <c r="C590" s="26"/>
      <c r="D590" s="26"/>
      <c r="E590" s="26"/>
      <c r="F590" s="26"/>
      <c r="G590" s="26"/>
      <c r="H590" s="26"/>
      <c r="I590" s="26"/>
      <c r="J590" s="26"/>
      <c r="K590" s="56"/>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row>
    <row r="591" spans="1:34" ht="15.75" customHeight="1">
      <c r="A591" s="26"/>
      <c r="B591" s="26"/>
      <c r="C591" s="26"/>
      <c r="D591" s="26"/>
      <c r="E591" s="26"/>
      <c r="F591" s="26"/>
      <c r="G591" s="26"/>
      <c r="H591" s="26"/>
      <c r="I591" s="26"/>
      <c r="J591" s="26"/>
      <c r="K591" s="56"/>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row>
    <row r="592" spans="1:34" ht="15.75" customHeight="1">
      <c r="A592" s="26"/>
      <c r="B592" s="26"/>
      <c r="C592" s="26"/>
      <c r="D592" s="26"/>
      <c r="E592" s="26"/>
      <c r="F592" s="26"/>
      <c r="G592" s="26"/>
      <c r="H592" s="26"/>
      <c r="I592" s="26"/>
      <c r="J592" s="26"/>
      <c r="K592" s="56"/>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row>
    <row r="593" spans="1:34" ht="15.75" customHeight="1">
      <c r="A593" s="26"/>
      <c r="B593" s="26"/>
      <c r="C593" s="26"/>
      <c r="D593" s="26"/>
      <c r="E593" s="26"/>
      <c r="F593" s="26"/>
      <c r="G593" s="26"/>
      <c r="H593" s="26"/>
      <c r="I593" s="26"/>
      <c r="J593" s="26"/>
      <c r="K593" s="56"/>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row>
    <row r="594" spans="1:34" ht="15.75" customHeight="1">
      <c r="A594" s="26"/>
      <c r="B594" s="26"/>
      <c r="C594" s="26"/>
      <c r="D594" s="26"/>
      <c r="E594" s="26"/>
      <c r="F594" s="26"/>
      <c r="G594" s="26"/>
      <c r="H594" s="26"/>
      <c r="I594" s="26"/>
      <c r="J594" s="26"/>
      <c r="K594" s="56"/>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row>
    <row r="595" spans="1:34" ht="15.75" customHeight="1">
      <c r="A595" s="26"/>
      <c r="B595" s="26"/>
      <c r="C595" s="26"/>
      <c r="D595" s="26"/>
      <c r="E595" s="26"/>
      <c r="F595" s="26"/>
      <c r="G595" s="26"/>
      <c r="H595" s="26"/>
      <c r="I595" s="26"/>
      <c r="J595" s="26"/>
      <c r="K595" s="56"/>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row>
    <row r="596" spans="1:34" ht="15.75" customHeight="1">
      <c r="A596" s="26"/>
      <c r="B596" s="26"/>
      <c r="C596" s="26"/>
      <c r="D596" s="26"/>
      <c r="E596" s="26"/>
      <c r="F596" s="26"/>
      <c r="G596" s="26"/>
      <c r="H596" s="26"/>
      <c r="I596" s="26"/>
      <c r="J596" s="26"/>
      <c r="K596" s="56"/>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row>
    <row r="597" spans="1:34" ht="15.75" customHeight="1">
      <c r="A597" s="26"/>
      <c r="B597" s="26"/>
      <c r="C597" s="26"/>
      <c r="D597" s="26"/>
      <c r="E597" s="26"/>
      <c r="F597" s="26"/>
      <c r="G597" s="26"/>
      <c r="H597" s="26"/>
      <c r="I597" s="26"/>
      <c r="J597" s="26"/>
      <c r="K597" s="56"/>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row>
    <row r="598" spans="1:34" ht="15.75" customHeight="1">
      <c r="A598" s="26"/>
      <c r="B598" s="26"/>
      <c r="C598" s="26"/>
      <c r="D598" s="26"/>
      <c r="E598" s="26"/>
      <c r="F598" s="26"/>
      <c r="G598" s="26"/>
      <c r="H598" s="26"/>
      <c r="I598" s="26"/>
      <c r="J598" s="26"/>
      <c r="K598" s="5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row>
    <row r="599" spans="1:34" ht="15.75" customHeight="1">
      <c r="A599" s="26"/>
      <c r="B599" s="26"/>
      <c r="C599" s="26"/>
      <c r="D599" s="26"/>
      <c r="E599" s="26"/>
      <c r="F599" s="26"/>
      <c r="G599" s="26"/>
      <c r="H599" s="26"/>
      <c r="I599" s="26"/>
      <c r="J599" s="26"/>
      <c r="K599" s="5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row>
    <row r="600" spans="1:34" ht="15.75" customHeight="1">
      <c r="A600" s="26"/>
      <c r="B600" s="26"/>
      <c r="C600" s="26"/>
      <c r="D600" s="26"/>
      <c r="E600" s="26"/>
      <c r="F600" s="26"/>
      <c r="G600" s="26"/>
      <c r="H600" s="26"/>
      <c r="I600" s="26"/>
      <c r="J600" s="26"/>
      <c r="K600" s="56"/>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row>
    <row r="601" spans="1:34" ht="15.75" customHeight="1">
      <c r="A601" s="26"/>
      <c r="B601" s="26"/>
      <c r="C601" s="26"/>
      <c r="D601" s="26"/>
      <c r="E601" s="26"/>
      <c r="F601" s="26"/>
      <c r="G601" s="26"/>
      <c r="H601" s="26"/>
      <c r="I601" s="26"/>
      <c r="J601" s="26"/>
      <c r="K601" s="56"/>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row>
    <row r="602" spans="1:34" ht="15.75" customHeight="1">
      <c r="A602" s="26"/>
      <c r="B602" s="26"/>
      <c r="C602" s="26"/>
      <c r="D602" s="26"/>
      <c r="E602" s="26"/>
      <c r="F602" s="26"/>
      <c r="G602" s="26"/>
      <c r="H602" s="26"/>
      <c r="I602" s="26"/>
      <c r="J602" s="26"/>
      <c r="K602" s="56"/>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row>
    <row r="603" spans="1:34" ht="15.75" customHeight="1">
      <c r="A603" s="26"/>
      <c r="B603" s="26"/>
      <c r="C603" s="26"/>
      <c r="D603" s="26"/>
      <c r="E603" s="26"/>
      <c r="F603" s="26"/>
      <c r="G603" s="26"/>
      <c r="H603" s="26"/>
      <c r="I603" s="26"/>
      <c r="J603" s="26"/>
      <c r="K603" s="56"/>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row>
    <row r="604" spans="1:34" ht="15.75" customHeight="1">
      <c r="A604" s="26"/>
      <c r="B604" s="26"/>
      <c r="C604" s="26"/>
      <c r="D604" s="26"/>
      <c r="E604" s="26"/>
      <c r="F604" s="26"/>
      <c r="G604" s="26"/>
      <c r="H604" s="26"/>
      <c r="I604" s="26"/>
      <c r="J604" s="26"/>
      <c r="K604" s="56"/>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row>
    <row r="605" spans="1:34" ht="15.75" customHeight="1">
      <c r="A605" s="26"/>
      <c r="B605" s="26"/>
      <c r="C605" s="26"/>
      <c r="D605" s="26"/>
      <c r="E605" s="26"/>
      <c r="F605" s="26"/>
      <c r="G605" s="26"/>
      <c r="H605" s="26"/>
      <c r="I605" s="26"/>
      <c r="J605" s="26"/>
      <c r="K605" s="56"/>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row>
    <row r="606" spans="1:34" ht="15.75" customHeight="1">
      <c r="A606" s="26"/>
      <c r="B606" s="26"/>
      <c r="C606" s="26"/>
      <c r="D606" s="26"/>
      <c r="E606" s="26"/>
      <c r="F606" s="26"/>
      <c r="G606" s="26"/>
      <c r="H606" s="26"/>
      <c r="I606" s="26"/>
      <c r="J606" s="26"/>
      <c r="K606" s="56"/>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row>
    <row r="607" spans="1:34" ht="15.75" customHeight="1">
      <c r="A607" s="26"/>
      <c r="B607" s="26"/>
      <c r="C607" s="26"/>
      <c r="D607" s="26"/>
      <c r="E607" s="26"/>
      <c r="F607" s="26"/>
      <c r="G607" s="26"/>
      <c r="H607" s="26"/>
      <c r="I607" s="26"/>
      <c r="J607" s="26"/>
      <c r="K607" s="56"/>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row>
    <row r="608" spans="1:34" ht="15.75" customHeight="1">
      <c r="A608" s="26"/>
      <c r="B608" s="26"/>
      <c r="C608" s="26"/>
      <c r="D608" s="26"/>
      <c r="E608" s="26"/>
      <c r="F608" s="26"/>
      <c r="G608" s="26"/>
      <c r="H608" s="26"/>
      <c r="I608" s="26"/>
      <c r="J608" s="26"/>
      <c r="K608" s="56"/>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row>
    <row r="609" spans="1:34" ht="15.75" customHeight="1">
      <c r="A609" s="26"/>
      <c r="B609" s="26"/>
      <c r="C609" s="26"/>
      <c r="D609" s="26"/>
      <c r="E609" s="26"/>
      <c r="F609" s="26"/>
      <c r="G609" s="26"/>
      <c r="H609" s="26"/>
      <c r="I609" s="26"/>
      <c r="J609" s="26"/>
      <c r="K609" s="56"/>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row>
    <row r="610" spans="1:34" ht="15.75" customHeight="1">
      <c r="A610" s="26"/>
      <c r="B610" s="26"/>
      <c r="C610" s="26"/>
      <c r="D610" s="26"/>
      <c r="E610" s="26"/>
      <c r="F610" s="26"/>
      <c r="G610" s="26"/>
      <c r="H610" s="26"/>
      <c r="I610" s="26"/>
      <c r="J610" s="26"/>
      <c r="K610" s="56"/>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row>
    <row r="611" spans="1:34" ht="15.75" customHeight="1">
      <c r="A611" s="26"/>
      <c r="B611" s="26"/>
      <c r="C611" s="26"/>
      <c r="D611" s="26"/>
      <c r="E611" s="26"/>
      <c r="F611" s="26"/>
      <c r="G611" s="26"/>
      <c r="H611" s="26"/>
      <c r="I611" s="26"/>
      <c r="J611" s="26"/>
      <c r="K611" s="5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row>
    <row r="612" spans="1:34" ht="15.75" customHeight="1">
      <c r="A612" s="26"/>
      <c r="B612" s="26"/>
      <c r="C612" s="26"/>
      <c r="D612" s="26"/>
      <c r="E612" s="26"/>
      <c r="F612" s="26"/>
      <c r="G612" s="26"/>
      <c r="H612" s="26"/>
      <c r="I612" s="26"/>
      <c r="J612" s="26"/>
      <c r="K612" s="56"/>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row>
    <row r="613" spans="1:34" ht="15.75" customHeight="1">
      <c r="A613" s="26"/>
      <c r="B613" s="26"/>
      <c r="C613" s="26"/>
      <c r="D613" s="26"/>
      <c r="E613" s="26"/>
      <c r="F613" s="26"/>
      <c r="G613" s="26"/>
      <c r="H613" s="26"/>
      <c r="I613" s="26"/>
      <c r="J613" s="26"/>
      <c r="K613" s="56"/>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row>
    <row r="614" spans="1:34" ht="15.75" customHeight="1">
      <c r="A614" s="26"/>
      <c r="B614" s="26"/>
      <c r="C614" s="26"/>
      <c r="D614" s="26"/>
      <c r="E614" s="26"/>
      <c r="F614" s="26"/>
      <c r="G614" s="26"/>
      <c r="H614" s="26"/>
      <c r="I614" s="26"/>
      <c r="J614" s="26"/>
      <c r="K614" s="56"/>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row>
    <row r="615" spans="1:34" ht="15.75" customHeight="1">
      <c r="A615" s="26"/>
      <c r="B615" s="26"/>
      <c r="C615" s="26"/>
      <c r="D615" s="26"/>
      <c r="E615" s="26"/>
      <c r="F615" s="26"/>
      <c r="G615" s="26"/>
      <c r="H615" s="26"/>
      <c r="I615" s="26"/>
      <c r="J615" s="26"/>
      <c r="K615" s="56"/>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row>
    <row r="616" spans="1:34" ht="15.75" customHeight="1">
      <c r="A616" s="26"/>
      <c r="B616" s="26"/>
      <c r="C616" s="26"/>
      <c r="D616" s="26"/>
      <c r="E616" s="26"/>
      <c r="F616" s="26"/>
      <c r="G616" s="26"/>
      <c r="H616" s="26"/>
      <c r="I616" s="26"/>
      <c r="J616" s="26"/>
      <c r="K616" s="56"/>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row>
    <row r="617" spans="1:34" ht="15.75" customHeight="1">
      <c r="A617" s="26"/>
      <c r="B617" s="26"/>
      <c r="C617" s="26"/>
      <c r="D617" s="26"/>
      <c r="E617" s="26"/>
      <c r="F617" s="26"/>
      <c r="G617" s="26"/>
      <c r="H617" s="26"/>
      <c r="I617" s="26"/>
      <c r="J617" s="26"/>
      <c r="K617" s="5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row>
    <row r="618" spans="1:34" ht="15.75" customHeight="1">
      <c r="A618" s="26"/>
      <c r="B618" s="26"/>
      <c r="C618" s="26"/>
      <c r="D618" s="26"/>
      <c r="E618" s="26"/>
      <c r="F618" s="26"/>
      <c r="G618" s="26"/>
      <c r="H618" s="26"/>
      <c r="I618" s="26"/>
      <c r="J618" s="26"/>
      <c r="K618" s="56"/>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row>
    <row r="619" spans="1:34" ht="15.75" customHeight="1">
      <c r="A619" s="26"/>
      <c r="B619" s="26"/>
      <c r="C619" s="26"/>
      <c r="D619" s="26"/>
      <c r="E619" s="26"/>
      <c r="F619" s="26"/>
      <c r="G619" s="26"/>
      <c r="H619" s="26"/>
      <c r="I619" s="26"/>
      <c r="J619" s="26"/>
      <c r="K619" s="56"/>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row>
    <row r="620" spans="1:34" ht="15.75" customHeight="1">
      <c r="A620" s="26"/>
      <c r="B620" s="26"/>
      <c r="C620" s="26"/>
      <c r="D620" s="26"/>
      <c r="E620" s="26"/>
      <c r="F620" s="26"/>
      <c r="G620" s="26"/>
      <c r="H620" s="26"/>
      <c r="I620" s="26"/>
      <c r="J620" s="26"/>
      <c r="K620" s="56"/>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row>
    <row r="621" spans="1:34" ht="15.75" customHeight="1">
      <c r="A621" s="26"/>
      <c r="B621" s="26"/>
      <c r="C621" s="26"/>
      <c r="D621" s="26"/>
      <c r="E621" s="26"/>
      <c r="F621" s="26"/>
      <c r="G621" s="26"/>
      <c r="H621" s="26"/>
      <c r="I621" s="26"/>
      <c r="J621" s="26"/>
      <c r="K621" s="56"/>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row>
    <row r="622" spans="1:34" ht="15.75" customHeight="1">
      <c r="A622" s="26"/>
      <c r="B622" s="26"/>
      <c r="C622" s="26"/>
      <c r="D622" s="26"/>
      <c r="E622" s="26"/>
      <c r="F622" s="26"/>
      <c r="G622" s="26"/>
      <c r="H622" s="26"/>
      <c r="I622" s="26"/>
      <c r="J622" s="26"/>
      <c r="K622" s="56"/>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row>
    <row r="623" spans="1:34" ht="15.75" customHeight="1">
      <c r="A623" s="26"/>
      <c r="B623" s="26"/>
      <c r="C623" s="26"/>
      <c r="D623" s="26"/>
      <c r="E623" s="26"/>
      <c r="F623" s="26"/>
      <c r="G623" s="26"/>
      <c r="H623" s="26"/>
      <c r="I623" s="26"/>
      <c r="J623" s="26"/>
      <c r="K623" s="56"/>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row>
    <row r="624" spans="1:34" ht="15.75" customHeight="1">
      <c r="A624" s="26"/>
      <c r="B624" s="26"/>
      <c r="C624" s="26"/>
      <c r="D624" s="26"/>
      <c r="E624" s="26"/>
      <c r="F624" s="26"/>
      <c r="G624" s="26"/>
      <c r="H624" s="26"/>
      <c r="I624" s="26"/>
      <c r="J624" s="26"/>
      <c r="K624" s="56"/>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row>
    <row r="625" spans="1:34" ht="15.75" customHeight="1">
      <c r="A625" s="26"/>
      <c r="B625" s="26"/>
      <c r="C625" s="26"/>
      <c r="D625" s="26"/>
      <c r="E625" s="26"/>
      <c r="F625" s="26"/>
      <c r="G625" s="26"/>
      <c r="H625" s="26"/>
      <c r="I625" s="26"/>
      <c r="J625" s="26"/>
      <c r="K625" s="56"/>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row>
    <row r="626" spans="1:34" ht="15.75" customHeight="1">
      <c r="A626" s="26"/>
      <c r="B626" s="26"/>
      <c r="C626" s="26"/>
      <c r="D626" s="26"/>
      <c r="E626" s="26"/>
      <c r="F626" s="26"/>
      <c r="G626" s="26"/>
      <c r="H626" s="26"/>
      <c r="I626" s="26"/>
      <c r="J626" s="26"/>
      <c r="K626" s="56"/>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row>
    <row r="627" spans="1:34" ht="15.75" customHeight="1">
      <c r="A627" s="26"/>
      <c r="B627" s="26"/>
      <c r="C627" s="26"/>
      <c r="D627" s="26"/>
      <c r="E627" s="26"/>
      <c r="F627" s="26"/>
      <c r="G627" s="26"/>
      <c r="H627" s="26"/>
      <c r="I627" s="26"/>
      <c r="J627" s="26"/>
      <c r="K627" s="56"/>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row>
    <row r="628" spans="1:34" ht="15.75" customHeight="1">
      <c r="A628" s="26"/>
      <c r="B628" s="26"/>
      <c r="C628" s="26"/>
      <c r="D628" s="26"/>
      <c r="E628" s="26"/>
      <c r="F628" s="26"/>
      <c r="G628" s="26"/>
      <c r="H628" s="26"/>
      <c r="I628" s="26"/>
      <c r="J628" s="26"/>
      <c r="K628" s="56"/>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row>
    <row r="629" spans="1:34" ht="15.75" customHeight="1">
      <c r="A629" s="26"/>
      <c r="B629" s="26"/>
      <c r="C629" s="26"/>
      <c r="D629" s="26"/>
      <c r="E629" s="26"/>
      <c r="F629" s="26"/>
      <c r="G629" s="26"/>
      <c r="H629" s="26"/>
      <c r="I629" s="26"/>
      <c r="J629" s="26"/>
      <c r="K629" s="56"/>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row>
    <row r="630" spans="1:34" ht="15.75" customHeight="1">
      <c r="A630" s="26"/>
      <c r="B630" s="26"/>
      <c r="C630" s="26"/>
      <c r="D630" s="26"/>
      <c r="E630" s="26"/>
      <c r="F630" s="26"/>
      <c r="G630" s="26"/>
      <c r="H630" s="26"/>
      <c r="I630" s="26"/>
      <c r="J630" s="26"/>
      <c r="K630" s="5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row>
    <row r="631" spans="1:34" ht="15.75" customHeight="1">
      <c r="A631" s="26"/>
      <c r="B631" s="26"/>
      <c r="C631" s="26"/>
      <c r="D631" s="26"/>
      <c r="E631" s="26"/>
      <c r="F631" s="26"/>
      <c r="G631" s="26"/>
      <c r="H631" s="26"/>
      <c r="I631" s="26"/>
      <c r="J631" s="26"/>
      <c r="K631" s="5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row>
    <row r="632" spans="1:34" ht="15.75" customHeight="1">
      <c r="A632" s="26"/>
      <c r="B632" s="26"/>
      <c r="C632" s="26"/>
      <c r="D632" s="26"/>
      <c r="E632" s="26"/>
      <c r="F632" s="26"/>
      <c r="G632" s="26"/>
      <c r="H632" s="26"/>
      <c r="I632" s="26"/>
      <c r="J632" s="26"/>
      <c r="K632" s="5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row>
    <row r="633" spans="1:34" ht="15.75" customHeight="1">
      <c r="A633" s="26"/>
      <c r="B633" s="26"/>
      <c r="C633" s="26"/>
      <c r="D633" s="26"/>
      <c r="E633" s="26"/>
      <c r="F633" s="26"/>
      <c r="G633" s="26"/>
      <c r="H633" s="26"/>
      <c r="I633" s="26"/>
      <c r="J633" s="26"/>
      <c r="K633" s="56"/>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row>
    <row r="634" spans="1:34" ht="15.75" customHeight="1">
      <c r="A634" s="26"/>
      <c r="B634" s="26"/>
      <c r="C634" s="26"/>
      <c r="D634" s="26"/>
      <c r="E634" s="26"/>
      <c r="F634" s="26"/>
      <c r="G634" s="26"/>
      <c r="H634" s="26"/>
      <c r="I634" s="26"/>
      <c r="J634" s="26"/>
      <c r="K634" s="56"/>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row>
    <row r="635" spans="1:34" ht="15.75" customHeight="1">
      <c r="A635" s="26"/>
      <c r="B635" s="26"/>
      <c r="C635" s="26"/>
      <c r="D635" s="26"/>
      <c r="E635" s="26"/>
      <c r="F635" s="26"/>
      <c r="G635" s="26"/>
      <c r="H635" s="26"/>
      <c r="I635" s="26"/>
      <c r="J635" s="26"/>
      <c r="K635" s="56"/>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row>
    <row r="636" spans="1:34" ht="15.75" customHeight="1">
      <c r="A636" s="26"/>
      <c r="B636" s="26"/>
      <c r="C636" s="26"/>
      <c r="D636" s="26"/>
      <c r="E636" s="26"/>
      <c r="F636" s="26"/>
      <c r="G636" s="26"/>
      <c r="H636" s="26"/>
      <c r="I636" s="26"/>
      <c r="J636" s="26"/>
      <c r="K636" s="56"/>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row>
    <row r="637" spans="1:34" ht="15.75" customHeight="1">
      <c r="A637" s="26"/>
      <c r="B637" s="26"/>
      <c r="C637" s="26"/>
      <c r="D637" s="26"/>
      <c r="E637" s="26"/>
      <c r="F637" s="26"/>
      <c r="G637" s="26"/>
      <c r="H637" s="26"/>
      <c r="I637" s="26"/>
      <c r="J637" s="26"/>
      <c r="K637" s="5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row>
    <row r="638" spans="1:34" ht="15.75" customHeight="1">
      <c r="A638" s="26"/>
      <c r="B638" s="26"/>
      <c r="C638" s="26"/>
      <c r="D638" s="26"/>
      <c r="E638" s="26"/>
      <c r="F638" s="26"/>
      <c r="G638" s="26"/>
      <c r="H638" s="26"/>
      <c r="I638" s="26"/>
      <c r="J638" s="26"/>
      <c r="K638" s="56"/>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row>
    <row r="639" spans="1:34" ht="15.75" customHeight="1">
      <c r="A639" s="26"/>
      <c r="B639" s="26"/>
      <c r="C639" s="26"/>
      <c r="D639" s="26"/>
      <c r="E639" s="26"/>
      <c r="F639" s="26"/>
      <c r="G639" s="26"/>
      <c r="H639" s="26"/>
      <c r="I639" s="26"/>
      <c r="J639" s="26"/>
      <c r="K639" s="56"/>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row>
    <row r="640" spans="1:34" ht="15.75" customHeight="1">
      <c r="A640" s="26"/>
      <c r="B640" s="26"/>
      <c r="C640" s="26"/>
      <c r="D640" s="26"/>
      <c r="E640" s="26"/>
      <c r="F640" s="26"/>
      <c r="G640" s="26"/>
      <c r="H640" s="26"/>
      <c r="I640" s="26"/>
      <c r="J640" s="26"/>
      <c r="K640" s="56"/>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row>
    <row r="641" spans="1:34" ht="15.75" customHeight="1">
      <c r="A641" s="26"/>
      <c r="B641" s="26"/>
      <c r="C641" s="26"/>
      <c r="D641" s="26"/>
      <c r="E641" s="26"/>
      <c r="F641" s="26"/>
      <c r="G641" s="26"/>
      <c r="H641" s="26"/>
      <c r="I641" s="26"/>
      <c r="J641" s="26"/>
      <c r="K641" s="56"/>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row>
    <row r="642" spans="1:34" ht="15.75" customHeight="1">
      <c r="A642" s="26"/>
      <c r="B642" s="26"/>
      <c r="C642" s="26"/>
      <c r="D642" s="26"/>
      <c r="E642" s="26"/>
      <c r="F642" s="26"/>
      <c r="G642" s="26"/>
      <c r="H642" s="26"/>
      <c r="I642" s="26"/>
      <c r="J642" s="26"/>
      <c r="K642" s="56"/>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row>
    <row r="643" spans="1:34" ht="15.75" customHeight="1">
      <c r="A643" s="26"/>
      <c r="B643" s="26"/>
      <c r="C643" s="26"/>
      <c r="D643" s="26"/>
      <c r="E643" s="26"/>
      <c r="F643" s="26"/>
      <c r="G643" s="26"/>
      <c r="H643" s="26"/>
      <c r="I643" s="26"/>
      <c r="J643" s="26"/>
      <c r="K643" s="56"/>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row>
    <row r="644" spans="1:34" ht="15.75" customHeight="1">
      <c r="A644" s="26"/>
      <c r="B644" s="26"/>
      <c r="C644" s="26"/>
      <c r="D644" s="26"/>
      <c r="E644" s="26"/>
      <c r="F644" s="26"/>
      <c r="G644" s="26"/>
      <c r="H644" s="26"/>
      <c r="I644" s="26"/>
      <c r="J644" s="26"/>
      <c r="K644" s="5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row>
    <row r="645" spans="1:34" ht="15.75" customHeight="1">
      <c r="A645" s="26"/>
      <c r="B645" s="26"/>
      <c r="C645" s="26"/>
      <c r="D645" s="26"/>
      <c r="E645" s="26"/>
      <c r="F645" s="26"/>
      <c r="G645" s="26"/>
      <c r="H645" s="26"/>
      <c r="I645" s="26"/>
      <c r="J645" s="26"/>
      <c r="K645" s="56"/>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row>
    <row r="646" spans="1:34" ht="15.75" customHeight="1">
      <c r="A646" s="26"/>
      <c r="B646" s="26"/>
      <c r="C646" s="26"/>
      <c r="D646" s="26"/>
      <c r="E646" s="26"/>
      <c r="F646" s="26"/>
      <c r="G646" s="26"/>
      <c r="H646" s="26"/>
      <c r="I646" s="26"/>
      <c r="J646" s="26"/>
      <c r="K646" s="56"/>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row>
    <row r="647" spans="1:34" ht="15.75" customHeight="1">
      <c r="A647" s="26"/>
      <c r="B647" s="26"/>
      <c r="C647" s="26"/>
      <c r="D647" s="26"/>
      <c r="E647" s="26"/>
      <c r="F647" s="26"/>
      <c r="G647" s="26"/>
      <c r="H647" s="26"/>
      <c r="I647" s="26"/>
      <c r="J647" s="26"/>
      <c r="K647" s="56"/>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row>
    <row r="648" spans="1:34" ht="15.75" customHeight="1">
      <c r="A648" s="26"/>
      <c r="B648" s="26"/>
      <c r="C648" s="26"/>
      <c r="D648" s="26"/>
      <c r="E648" s="26"/>
      <c r="F648" s="26"/>
      <c r="G648" s="26"/>
      <c r="H648" s="26"/>
      <c r="I648" s="26"/>
      <c r="J648" s="26"/>
      <c r="K648" s="56"/>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row>
    <row r="649" spans="1:34" ht="15.75" customHeight="1">
      <c r="A649" s="26"/>
      <c r="B649" s="26"/>
      <c r="C649" s="26"/>
      <c r="D649" s="26"/>
      <c r="E649" s="26"/>
      <c r="F649" s="26"/>
      <c r="G649" s="26"/>
      <c r="H649" s="26"/>
      <c r="I649" s="26"/>
      <c r="J649" s="26"/>
      <c r="K649" s="56"/>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row>
    <row r="650" spans="1:34" ht="15.75" customHeight="1">
      <c r="A650" s="26"/>
      <c r="B650" s="26"/>
      <c r="C650" s="26"/>
      <c r="D650" s="26"/>
      <c r="E650" s="26"/>
      <c r="F650" s="26"/>
      <c r="G650" s="26"/>
      <c r="H650" s="26"/>
      <c r="I650" s="26"/>
      <c r="J650" s="26"/>
      <c r="K650" s="56"/>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row>
    <row r="651" spans="1:34" ht="15.75" customHeight="1">
      <c r="A651" s="26"/>
      <c r="B651" s="26"/>
      <c r="C651" s="26"/>
      <c r="D651" s="26"/>
      <c r="E651" s="26"/>
      <c r="F651" s="26"/>
      <c r="G651" s="26"/>
      <c r="H651" s="26"/>
      <c r="I651" s="26"/>
      <c r="J651" s="26"/>
      <c r="K651" s="56"/>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row>
    <row r="652" spans="1:34" ht="15.75" customHeight="1">
      <c r="A652" s="26"/>
      <c r="B652" s="26"/>
      <c r="C652" s="26"/>
      <c r="D652" s="26"/>
      <c r="E652" s="26"/>
      <c r="F652" s="26"/>
      <c r="G652" s="26"/>
      <c r="H652" s="26"/>
      <c r="I652" s="26"/>
      <c r="J652" s="26"/>
      <c r="K652" s="56"/>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row>
    <row r="653" spans="1:34" ht="15.75" customHeight="1">
      <c r="A653" s="26"/>
      <c r="B653" s="26"/>
      <c r="C653" s="26"/>
      <c r="D653" s="26"/>
      <c r="E653" s="26"/>
      <c r="F653" s="26"/>
      <c r="G653" s="26"/>
      <c r="H653" s="26"/>
      <c r="I653" s="26"/>
      <c r="J653" s="26"/>
      <c r="K653" s="5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row>
    <row r="654" spans="1:34" ht="15.75" customHeight="1">
      <c r="A654" s="26"/>
      <c r="B654" s="26"/>
      <c r="C654" s="26"/>
      <c r="D654" s="26"/>
      <c r="E654" s="26"/>
      <c r="F654" s="26"/>
      <c r="G654" s="26"/>
      <c r="H654" s="26"/>
      <c r="I654" s="26"/>
      <c r="J654" s="26"/>
      <c r="K654" s="5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row>
    <row r="655" spans="1:34" ht="15.75" customHeight="1">
      <c r="A655" s="26"/>
      <c r="B655" s="26"/>
      <c r="C655" s="26"/>
      <c r="D655" s="26"/>
      <c r="E655" s="26"/>
      <c r="F655" s="26"/>
      <c r="G655" s="26"/>
      <c r="H655" s="26"/>
      <c r="I655" s="26"/>
      <c r="J655" s="26"/>
      <c r="K655" s="56"/>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row>
    <row r="656" spans="1:34" ht="15.75" customHeight="1">
      <c r="A656" s="26"/>
      <c r="B656" s="26"/>
      <c r="C656" s="26"/>
      <c r="D656" s="26"/>
      <c r="E656" s="26"/>
      <c r="F656" s="26"/>
      <c r="G656" s="26"/>
      <c r="H656" s="26"/>
      <c r="I656" s="26"/>
      <c r="J656" s="26"/>
      <c r="K656" s="5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row>
    <row r="657" spans="1:34" ht="15.75" customHeight="1">
      <c r="A657" s="26"/>
      <c r="B657" s="26"/>
      <c r="C657" s="26"/>
      <c r="D657" s="26"/>
      <c r="E657" s="26"/>
      <c r="F657" s="26"/>
      <c r="G657" s="26"/>
      <c r="H657" s="26"/>
      <c r="I657" s="26"/>
      <c r="J657" s="26"/>
      <c r="K657" s="56"/>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row>
    <row r="658" spans="1:34" ht="15.75" customHeight="1">
      <c r="A658" s="26"/>
      <c r="B658" s="26"/>
      <c r="C658" s="26"/>
      <c r="D658" s="26"/>
      <c r="E658" s="26"/>
      <c r="F658" s="26"/>
      <c r="G658" s="26"/>
      <c r="H658" s="26"/>
      <c r="I658" s="26"/>
      <c r="J658" s="26"/>
      <c r="K658" s="56"/>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row>
    <row r="659" spans="1:34" ht="15.75" customHeight="1">
      <c r="A659" s="26"/>
      <c r="B659" s="26"/>
      <c r="C659" s="26"/>
      <c r="D659" s="26"/>
      <c r="E659" s="26"/>
      <c r="F659" s="26"/>
      <c r="G659" s="26"/>
      <c r="H659" s="26"/>
      <c r="I659" s="26"/>
      <c r="J659" s="26"/>
      <c r="K659" s="56"/>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row>
    <row r="660" spans="1:34" ht="15.75" customHeight="1">
      <c r="A660" s="26"/>
      <c r="B660" s="26"/>
      <c r="C660" s="26"/>
      <c r="D660" s="26"/>
      <c r="E660" s="26"/>
      <c r="F660" s="26"/>
      <c r="G660" s="26"/>
      <c r="H660" s="26"/>
      <c r="I660" s="26"/>
      <c r="J660" s="26"/>
      <c r="K660" s="56"/>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row>
    <row r="661" spans="1:34" ht="15.75" customHeight="1">
      <c r="A661" s="26"/>
      <c r="B661" s="26"/>
      <c r="C661" s="26"/>
      <c r="D661" s="26"/>
      <c r="E661" s="26"/>
      <c r="F661" s="26"/>
      <c r="G661" s="26"/>
      <c r="H661" s="26"/>
      <c r="I661" s="26"/>
      <c r="J661" s="26"/>
      <c r="K661" s="56"/>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row>
    <row r="662" spans="1:34" ht="15.75" customHeight="1">
      <c r="A662" s="26"/>
      <c r="B662" s="26"/>
      <c r="C662" s="26"/>
      <c r="D662" s="26"/>
      <c r="E662" s="26"/>
      <c r="F662" s="26"/>
      <c r="G662" s="26"/>
      <c r="H662" s="26"/>
      <c r="I662" s="26"/>
      <c r="J662" s="26"/>
      <c r="K662" s="56"/>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row>
    <row r="663" spans="1:34" ht="15.75" customHeight="1">
      <c r="A663" s="26"/>
      <c r="B663" s="26"/>
      <c r="C663" s="26"/>
      <c r="D663" s="26"/>
      <c r="E663" s="26"/>
      <c r="F663" s="26"/>
      <c r="G663" s="26"/>
      <c r="H663" s="26"/>
      <c r="I663" s="26"/>
      <c r="J663" s="26"/>
      <c r="K663" s="56"/>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row>
    <row r="664" spans="1:34" ht="15.75" customHeight="1">
      <c r="A664" s="26"/>
      <c r="B664" s="26"/>
      <c r="C664" s="26"/>
      <c r="D664" s="26"/>
      <c r="E664" s="26"/>
      <c r="F664" s="26"/>
      <c r="G664" s="26"/>
      <c r="H664" s="26"/>
      <c r="I664" s="26"/>
      <c r="J664" s="26"/>
      <c r="K664" s="5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row>
    <row r="665" spans="1:34" ht="15.75" customHeight="1">
      <c r="A665" s="26"/>
      <c r="B665" s="26"/>
      <c r="C665" s="26"/>
      <c r="D665" s="26"/>
      <c r="E665" s="26"/>
      <c r="F665" s="26"/>
      <c r="G665" s="26"/>
      <c r="H665" s="26"/>
      <c r="I665" s="26"/>
      <c r="J665" s="26"/>
      <c r="K665" s="5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row>
    <row r="666" spans="1:34" ht="15.75" customHeight="1">
      <c r="A666" s="26"/>
      <c r="B666" s="26"/>
      <c r="C666" s="26"/>
      <c r="D666" s="26"/>
      <c r="E666" s="26"/>
      <c r="F666" s="26"/>
      <c r="G666" s="26"/>
      <c r="H666" s="26"/>
      <c r="I666" s="26"/>
      <c r="J666" s="26"/>
      <c r="K666" s="56"/>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row>
    <row r="667" spans="1:34" ht="15.75" customHeight="1">
      <c r="A667" s="26"/>
      <c r="B667" s="26"/>
      <c r="C667" s="26"/>
      <c r="D667" s="26"/>
      <c r="E667" s="26"/>
      <c r="F667" s="26"/>
      <c r="G667" s="26"/>
      <c r="H667" s="26"/>
      <c r="I667" s="26"/>
      <c r="J667" s="26"/>
      <c r="K667" s="56"/>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row>
    <row r="668" spans="1:34" ht="15.75" customHeight="1">
      <c r="A668" s="26"/>
      <c r="B668" s="26"/>
      <c r="C668" s="26"/>
      <c r="D668" s="26"/>
      <c r="E668" s="26"/>
      <c r="F668" s="26"/>
      <c r="G668" s="26"/>
      <c r="H668" s="26"/>
      <c r="I668" s="26"/>
      <c r="J668" s="26"/>
      <c r="K668" s="56"/>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row>
    <row r="669" spans="1:34" ht="15.75" customHeight="1">
      <c r="A669" s="26"/>
      <c r="B669" s="26"/>
      <c r="C669" s="26"/>
      <c r="D669" s="26"/>
      <c r="E669" s="26"/>
      <c r="F669" s="26"/>
      <c r="G669" s="26"/>
      <c r="H669" s="26"/>
      <c r="I669" s="26"/>
      <c r="J669" s="26"/>
      <c r="K669" s="56"/>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row>
    <row r="670" spans="1:34" ht="15.75" customHeight="1">
      <c r="A670" s="26"/>
      <c r="B670" s="26"/>
      <c r="C670" s="26"/>
      <c r="D670" s="26"/>
      <c r="E670" s="26"/>
      <c r="F670" s="26"/>
      <c r="G670" s="26"/>
      <c r="H670" s="26"/>
      <c r="I670" s="26"/>
      <c r="J670" s="26"/>
      <c r="K670" s="56"/>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row>
    <row r="671" spans="1:34" ht="15.75" customHeight="1">
      <c r="A671" s="26"/>
      <c r="B671" s="26"/>
      <c r="C671" s="26"/>
      <c r="D671" s="26"/>
      <c r="E671" s="26"/>
      <c r="F671" s="26"/>
      <c r="G671" s="26"/>
      <c r="H671" s="26"/>
      <c r="I671" s="26"/>
      <c r="J671" s="26"/>
      <c r="K671" s="56"/>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row>
    <row r="672" spans="1:34" ht="15.75" customHeight="1">
      <c r="A672" s="26"/>
      <c r="B672" s="26"/>
      <c r="C672" s="26"/>
      <c r="D672" s="26"/>
      <c r="E672" s="26"/>
      <c r="F672" s="26"/>
      <c r="G672" s="26"/>
      <c r="H672" s="26"/>
      <c r="I672" s="26"/>
      <c r="J672" s="26"/>
      <c r="K672" s="56"/>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row>
    <row r="673" spans="1:34" ht="15.75" customHeight="1">
      <c r="A673" s="26"/>
      <c r="B673" s="26"/>
      <c r="C673" s="26"/>
      <c r="D673" s="26"/>
      <c r="E673" s="26"/>
      <c r="F673" s="26"/>
      <c r="G673" s="26"/>
      <c r="H673" s="26"/>
      <c r="I673" s="26"/>
      <c r="J673" s="26"/>
      <c r="K673" s="56"/>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row>
    <row r="674" spans="1:34" ht="15.75" customHeight="1">
      <c r="A674" s="26"/>
      <c r="B674" s="26"/>
      <c r="C674" s="26"/>
      <c r="D674" s="26"/>
      <c r="E674" s="26"/>
      <c r="F674" s="26"/>
      <c r="G674" s="26"/>
      <c r="H674" s="26"/>
      <c r="I674" s="26"/>
      <c r="J674" s="26"/>
      <c r="K674" s="56"/>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row>
    <row r="675" spans="1:34" ht="15.75" customHeight="1">
      <c r="A675" s="26"/>
      <c r="B675" s="26"/>
      <c r="C675" s="26"/>
      <c r="D675" s="26"/>
      <c r="E675" s="26"/>
      <c r="F675" s="26"/>
      <c r="G675" s="26"/>
      <c r="H675" s="26"/>
      <c r="I675" s="26"/>
      <c r="J675" s="26"/>
      <c r="K675" s="56"/>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row>
    <row r="676" spans="1:34" ht="15.75" customHeight="1">
      <c r="A676" s="26"/>
      <c r="B676" s="26"/>
      <c r="C676" s="26"/>
      <c r="D676" s="26"/>
      <c r="E676" s="26"/>
      <c r="F676" s="26"/>
      <c r="G676" s="26"/>
      <c r="H676" s="26"/>
      <c r="I676" s="26"/>
      <c r="J676" s="26"/>
      <c r="K676" s="56"/>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row>
    <row r="677" spans="1:34" ht="15.75" customHeight="1">
      <c r="A677" s="26"/>
      <c r="B677" s="26"/>
      <c r="C677" s="26"/>
      <c r="D677" s="26"/>
      <c r="E677" s="26"/>
      <c r="F677" s="26"/>
      <c r="G677" s="26"/>
      <c r="H677" s="26"/>
      <c r="I677" s="26"/>
      <c r="J677" s="26"/>
      <c r="K677" s="56"/>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row>
    <row r="678" spans="1:34" ht="15.75" customHeight="1">
      <c r="A678" s="26"/>
      <c r="B678" s="26"/>
      <c r="C678" s="26"/>
      <c r="D678" s="26"/>
      <c r="E678" s="26"/>
      <c r="F678" s="26"/>
      <c r="G678" s="26"/>
      <c r="H678" s="26"/>
      <c r="I678" s="26"/>
      <c r="J678" s="26"/>
      <c r="K678" s="56"/>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row>
    <row r="679" spans="1:34" ht="15.75" customHeight="1">
      <c r="A679" s="26"/>
      <c r="B679" s="26"/>
      <c r="C679" s="26"/>
      <c r="D679" s="26"/>
      <c r="E679" s="26"/>
      <c r="F679" s="26"/>
      <c r="G679" s="26"/>
      <c r="H679" s="26"/>
      <c r="I679" s="26"/>
      <c r="J679" s="26"/>
      <c r="K679" s="56"/>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row>
    <row r="680" spans="1:34" ht="15.75" customHeight="1">
      <c r="A680" s="26"/>
      <c r="B680" s="26"/>
      <c r="C680" s="26"/>
      <c r="D680" s="26"/>
      <c r="E680" s="26"/>
      <c r="F680" s="26"/>
      <c r="G680" s="26"/>
      <c r="H680" s="26"/>
      <c r="I680" s="26"/>
      <c r="J680" s="26"/>
      <c r="K680" s="56"/>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row>
    <row r="681" spans="1:34" ht="15.75" customHeight="1">
      <c r="A681" s="26"/>
      <c r="B681" s="26"/>
      <c r="C681" s="26"/>
      <c r="D681" s="26"/>
      <c r="E681" s="26"/>
      <c r="F681" s="26"/>
      <c r="G681" s="26"/>
      <c r="H681" s="26"/>
      <c r="I681" s="26"/>
      <c r="J681" s="26"/>
      <c r="K681" s="56"/>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row>
    <row r="682" spans="1:34" ht="15.75" customHeight="1">
      <c r="A682" s="26"/>
      <c r="B682" s="26"/>
      <c r="C682" s="26"/>
      <c r="D682" s="26"/>
      <c r="E682" s="26"/>
      <c r="F682" s="26"/>
      <c r="G682" s="26"/>
      <c r="H682" s="26"/>
      <c r="I682" s="26"/>
      <c r="J682" s="26"/>
      <c r="K682" s="56"/>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row>
    <row r="683" spans="1:34" ht="15.75" customHeight="1">
      <c r="A683" s="26"/>
      <c r="B683" s="26"/>
      <c r="C683" s="26"/>
      <c r="D683" s="26"/>
      <c r="E683" s="26"/>
      <c r="F683" s="26"/>
      <c r="G683" s="26"/>
      <c r="H683" s="26"/>
      <c r="I683" s="26"/>
      <c r="J683" s="26"/>
      <c r="K683" s="56"/>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row>
    <row r="684" spans="1:34" ht="15.75" customHeight="1">
      <c r="A684" s="26"/>
      <c r="B684" s="26"/>
      <c r="C684" s="26"/>
      <c r="D684" s="26"/>
      <c r="E684" s="26"/>
      <c r="F684" s="26"/>
      <c r="G684" s="26"/>
      <c r="H684" s="26"/>
      <c r="I684" s="26"/>
      <c r="J684" s="26"/>
      <c r="K684" s="56"/>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row>
    <row r="685" spans="1:34" ht="15.75" customHeight="1">
      <c r="A685" s="26"/>
      <c r="B685" s="26"/>
      <c r="C685" s="26"/>
      <c r="D685" s="26"/>
      <c r="E685" s="26"/>
      <c r="F685" s="26"/>
      <c r="G685" s="26"/>
      <c r="H685" s="26"/>
      <c r="I685" s="26"/>
      <c r="J685" s="26"/>
      <c r="K685" s="56"/>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row>
    <row r="686" spans="1:34" ht="15.75" customHeight="1">
      <c r="A686" s="26"/>
      <c r="B686" s="26"/>
      <c r="C686" s="26"/>
      <c r="D686" s="26"/>
      <c r="E686" s="26"/>
      <c r="F686" s="26"/>
      <c r="G686" s="26"/>
      <c r="H686" s="26"/>
      <c r="I686" s="26"/>
      <c r="J686" s="26"/>
      <c r="K686" s="56"/>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row>
    <row r="687" spans="1:34" ht="15.75" customHeight="1">
      <c r="A687" s="26"/>
      <c r="B687" s="26"/>
      <c r="C687" s="26"/>
      <c r="D687" s="26"/>
      <c r="E687" s="26"/>
      <c r="F687" s="26"/>
      <c r="G687" s="26"/>
      <c r="H687" s="26"/>
      <c r="I687" s="26"/>
      <c r="J687" s="26"/>
      <c r="K687" s="56"/>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row>
    <row r="688" spans="1:34" ht="15.75" customHeight="1">
      <c r="A688" s="26"/>
      <c r="B688" s="26"/>
      <c r="C688" s="26"/>
      <c r="D688" s="26"/>
      <c r="E688" s="26"/>
      <c r="F688" s="26"/>
      <c r="G688" s="26"/>
      <c r="H688" s="26"/>
      <c r="I688" s="26"/>
      <c r="J688" s="26"/>
      <c r="K688" s="56"/>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row>
    <row r="689" spans="1:34" ht="15.75" customHeight="1">
      <c r="A689" s="26"/>
      <c r="B689" s="26"/>
      <c r="C689" s="26"/>
      <c r="D689" s="26"/>
      <c r="E689" s="26"/>
      <c r="F689" s="26"/>
      <c r="G689" s="26"/>
      <c r="H689" s="26"/>
      <c r="I689" s="26"/>
      <c r="J689" s="26"/>
      <c r="K689" s="56"/>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row>
    <row r="690" spans="1:34" ht="15.75" customHeight="1">
      <c r="A690" s="26"/>
      <c r="B690" s="26"/>
      <c r="C690" s="26"/>
      <c r="D690" s="26"/>
      <c r="E690" s="26"/>
      <c r="F690" s="26"/>
      <c r="G690" s="26"/>
      <c r="H690" s="26"/>
      <c r="I690" s="26"/>
      <c r="J690" s="26"/>
      <c r="K690" s="56"/>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row>
    <row r="691" spans="1:34" ht="15.75" customHeight="1">
      <c r="A691" s="26"/>
      <c r="B691" s="26"/>
      <c r="C691" s="26"/>
      <c r="D691" s="26"/>
      <c r="E691" s="26"/>
      <c r="F691" s="26"/>
      <c r="G691" s="26"/>
      <c r="H691" s="26"/>
      <c r="I691" s="26"/>
      <c r="J691" s="26"/>
      <c r="K691" s="56"/>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row>
    <row r="692" spans="1:34" ht="15.75" customHeight="1">
      <c r="A692" s="26"/>
      <c r="B692" s="26"/>
      <c r="C692" s="26"/>
      <c r="D692" s="26"/>
      <c r="E692" s="26"/>
      <c r="F692" s="26"/>
      <c r="G692" s="26"/>
      <c r="H692" s="26"/>
      <c r="I692" s="26"/>
      <c r="J692" s="26"/>
      <c r="K692" s="56"/>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row>
    <row r="693" spans="1:34" ht="15.75" customHeight="1">
      <c r="A693" s="26"/>
      <c r="B693" s="26"/>
      <c r="C693" s="26"/>
      <c r="D693" s="26"/>
      <c r="E693" s="26"/>
      <c r="F693" s="26"/>
      <c r="G693" s="26"/>
      <c r="H693" s="26"/>
      <c r="I693" s="26"/>
      <c r="J693" s="26"/>
      <c r="K693" s="56"/>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row>
    <row r="694" spans="1:34" ht="15.75" customHeight="1">
      <c r="A694" s="26"/>
      <c r="B694" s="26"/>
      <c r="C694" s="26"/>
      <c r="D694" s="26"/>
      <c r="E694" s="26"/>
      <c r="F694" s="26"/>
      <c r="G694" s="26"/>
      <c r="H694" s="26"/>
      <c r="I694" s="26"/>
      <c r="J694" s="26"/>
      <c r="K694" s="56"/>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row>
    <row r="695" spans="1:34" ht="15.75" customHeight="1">
      <c r="A695" s="26"/>
      <c r="B695" s="26"/>
      <c r="C695" s="26"/>
      <c r="D695" s="26"/>
      <c r="E695" s="26"/>
      <c r="F695" s="26"/>
      <c r="G695" s="26"/>
      <c r="H695" s="26"/>
      <c r="I695" s="26"/>
      <c r="J695" s="26"/>
      <c r="K695" s="56"/>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row>
    <row r="696" spans="1:34" ht="15.75" customHeight="1">
      <c r="A696" s="26"/>
      <c r="B696" s="26"/>
      <c r="C696" s="26"/>
      <c r="D696" s="26"/>
      <c r="E696" s="26"/>
      <c r="F696" s="26"/>
      <c r="G696" s="26"/>
      <c r="H696" s="26"/>
      <c r="I696" s="26"/>
      <c r="J696" s="26"/>
      <c r="K696" s="56"/>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row>
    <row r="697" spans="1:34" ht="15.75" customHeight="1">
      <c r="A697" s="26"/>
      <c r="B697" s="26"/>
      <c r="C697" s="26"/>
      <c r="D697" s="26"/>
      <c r="E697" s="26"/>
      <c r="F697" s="26"/>
      <c r="G697" s="26"/>
      <c r="H697" s="26"/>
      <c r="I697" s="26"/>
      <c r="J697" s="26"/>
      <c r="K697" s="5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row>
    <row r="698" spans="1:34" ht="15.75" customHeight="1">
      <c r="A698" s="26"/>
      <c r="B698" s="26"/>
      <c r="C698" s="26"/>
      <c r="D698" s="26"/>
      <c r="E698" s="26"/>
      <c r="F698" s="26"/>
      <c r="G698" s="26"/>
      <c r="H698" s="26"/>
      <c r="I698" s="26"/>
      <c r="J698" s="26"/>
      <c r="K698" s="5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row>
    <row r="699" spans="1:34" ht="15.75" customHeight="1">
      <c r="A699" s="26"/>
      <c r="B699" s="26"/>
      <c r="C699" s="26"/>
      <c r="D699" s="26"/>
      <c r="E699" s="26"/>
      <c r="F699" s="26"/>
      <c r="G699" s="26"/>
      <c r="H699" s="26"/>
      <c r="I699" s="26"/>
      <c r="J699" s="26"/>
      <c r="K699" s="56"/>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row>
    <row r="700" spans="1:34" ht="15.75" customHeight="1">
      <c r="A700" s="26"/>
      <c r="B700" s="26"/>
      <c r="C700" s="26"/>
      <c r="D700" s="26"/>
      <c r="E700" s="26"/>
      <c r="F700" s="26"/>
      <c r="G700" s="26"/>
      <c r="H700" s="26"/>
      <c r="I700" s="26"/>
      <c r="J700" s="26"/>
      <c r="K700" s="56"/>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row>
    <row r="701" spans="1:34" ht="15.75" customHeight="1">
      <c r="A701" s="26"/>
      <c r="B701" s="26"/>
      <c r="C701" s="26"/>
      <c r="D701" s="26"/>
      <c r="E701" s="26"/>
      <c r="F701" s="26"/>
      <c r="G701" s="26"/>
      <c r="H701" s="26"/>
      <c r="I701" s="26"/>
      <c r="J701" s="26"/>
      <c r="K701" s="56"/>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row>
    <row r="702" spans="1:34" ht="15.75" customHeight="1">
      <c r="A702" s="26"/>
      <c r="B702" s="26"/>
      <c r="C702" s="26"/>
      <c r="D702" s="26"/>
      <c r="E702" s="26"/>
      <c r="F702" s="26"/>
      <c r="G702" s="26"/>
      <c r="H702" s="26"/>
      <c r="I702" s="26"/>
      <c r="J702" s="26"/>
      <c r="K702" s="56"/>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row>
    <row r="703" spans="1:34" ht="15.75" customHeight="1">
      <c r="A703" s="26"/>
      <c r="B703" s="26"/>
      <c r="C703" s="26"/>
      <c r="D703" s="26"/>
      <c r="E703" s="26"/>
      <c r="F703" s="26"/>
      <c r="G703" s="26"/>
      <c r="H703" s="26"/>
      <c r="I703" s="26"/>
      <c r="J703" s="26"/>
      <c r="K703" s="5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row>
    <row r="704" spans="1:34" ht="15.75" customHeight="1">
      <c r="A704" s="26"/>
      <c r="B704" s="26"/>
      <c r="C704" s="26"/>
      <c r="D704" s="26"/>
      <c r="E704" s="26"/>
      <c r="F704" s="26"/>
      <c r="G704" s="26"/>
      <c r="H704" s="26"/>
      <c r="I704" s="26"/>
      <c r="J704" s="26"/>
      <c r="K704" s="56"/>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row>
    <row r="705" spans="1:34" ht="15.75" customHeight="1">
      <c r="A705" s="26"/>
      <c r="B705" s="26"/>
      <c r="C705" s="26"/>
      <c r="D705" s="26"/>
      <c r="E705" s="26"/>
      <c r="F705" s="26"/>
      <c r="G705" s="26"/>
      <c r="H705" s="26"/>
      <c r="I705" s="26"/>
      <c r="J705" s="26"/>
      <c r="K705" s="56"/>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row>
    <row r="706" spans="1:34" ht="15.75" customHeight="1">
      <c r="A706" s="26"/>
      <c r="B706" s="26"/>
      <c r="C706" s="26"/>
      <c r="D706" s="26"/>
      <c r="E706" s="26"/>
      <c r="F706" s="26"/>
      <c r="G706" s="26"/>
      <c r="H706" s="26"/>
      <c r="I706" s="26"/>
      <c r="J706" s="26"/>
      <c r="K706" s="5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row>
    <row r="707" spans="1:34" ht="15.75" customHeight="1">
      <c r="A707" s="26"/>
      <c r="B707" s="26"/>
      <c r="C707" s="26"/>
      <c r="D707" s="26"/>
      <c r="E707" s="26"/>
      <c r="F707" s="26"/>
      <c r="G707" s="26"/>
      <c r="H707" s="26"/>
      <c r="I707" s="26"/>
      <c r="J707" s="26"/>
      <c r="K707" s="56"/>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row>
    <row r="708" spans="1:34" ht="15.75" customHeight="1">
      <c r="A708" s="26"/>
      <c r="B708" s="26"/>
      <c r="C708" s="26"/>
      <c r="D708" s="26"/>
      <c r="E708" s="26"/>
      <c r="F708" s="26"/>
      <c r="G708" s="26"/>
      <c r="H708" s="26"/>
      <c r="I708" s="26"/>
      <c r="J708" s="26"/>
      <c r="K708" s="56"/>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row>
    <row r="709" spans="1:34" ht="15.75" customHeight="1">
      <c r="A709" s="26"/>
      <c r="B709" s="26"/>
      <c r="C709" s="26"/>
      <c r="D709" s="26"/>
      <c r="E709" s="26"/>
      <c r="F709" s="26"/>
      <c r="G709" s="26"/>
      <c r="H709" s="26"/>
      <c r="I709" s="26"/>
      <c r="J709" s="26"/>
      <c r="K709" s="56"/>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row>
    <row r="710" spans="1:34" ht="15.75" customHeight="1">
      <c r="A710" s="26"/>
      <c r="B710" s="26"/>
      <c r="C710" s="26"/>
      <c r="D710" s="26"/>
      <c r="E710" s="26"/>
      <c r="F710" s="26"/>
      <c r="G710" s="26"/>
      <c r="H710" s="26"/>
      <c r="I710" s="26"/>
      <c r="J710" s="26"/>
      <c r="K710" s="56"/>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row>
    <row r="711" spans="1:34" ht="15.75" customHeight="1">
      <c r="A711" s="26"/>
      <c r="B711" s="26"/>
      <c r="C711" s="26"/>
      <c r="D711" s="26"/>
      <c r="E711" s="26"/>
      <c r="F711" s="26"/>
      <c r="G711" s="26"/>
      <c r="H711" s="26"/>
      <c r="I711" s="26"/>
      <c r="J711" s="26"/>
      <c r="K711" s="56"/>
      <c r="L711" s="26"/>
      <c r="M711" s="26"/>
      <c r="N711" s="26"/>
      <c r="O711" s="26"/>
      <c r="P711" s="26"/>
      <c r="Q711" s="26"/>
      <c r="R711" s="26"/>
      <c r="S711" s="26"/>
      <c r="T711" s="26"/>
      <c r="U711" s="26"/>
      <c r="V711" s="26"/>
      <c r="W711" s="26"/>
      <c r="X711" s="26"/>
      <c r="Y711" s="26"/>
      <c r="Z711" s="26"/>
      <c r="AA711" s="26"/>
      <c r="AB711" s="26"/>
      <c r="AC711" s="26"/>
      <c r="AD711" s="26"/>
      <c r="AE711" s="26"/>
      <c r="AF711" s="26"/>
      <c r="AG711" s="26"/>
      <c r="AH711" s="26"/>
    </row>
    <row r="712" spans="1:34" ht="15.75" customHeight="1">
      <c r="A712" s="26"/>
      <c r="B712" s="26"/>
      <c r="C712" s="26"/>
      <c r="D712" s="26"/>
      <c r="E712" s="26"/>
      <c r="F712" s="26"/>
      <c r="G712" s="26"/>
      <c r="H712" s="26"/>
      <c r="I712" s="26"/>
      <c r="J712" s="26"/>
      <c r="K712" s="56"/>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row>
    <row r="713" spans="1:34" ht="15.75" customHeight="1">
      <c r="A713" s="26"/>
      <c r="B713" s="26"/>
      <c r="C713" s="26"/>
      <c r="D713" s="26"/>
      <c r="E713" s="26"/>
      <c r="F713" s="26"/>
      <c r="G713" s="26"/>
      <c r="H713" s="26"/>
      <c r="I713" s="26"/>
      <c r="J713" s="26"/>
      <c r="K713" s="56"/>
      <c r="L713" s="26"/>
      <c r="M713" s="26"/>
      <c r="N713" s="26"/>
      <c r="O713" s="26"/>
      <c r="P713" s="26"/>
      <c r="Q713" s="26"/>
      <c r="R713" s="26"/>
      <c r="S713" s="26"/>
      <c r="T713" s="26"/>
      <c r="U713" s="26"/>
      <c r="V713" s="26"/>
      <c r="W713" s="26"/>
      <c r="X713" s="26"/>
      <c r="Y713" s="26"/>
      <c r="Z713" s="26"/>
      <c r="AA713" s="26"/>
      <c r="AB713" s="26"/>
      <c r="AC713" s="26"/>
      <c r="AD713" s="26"/>
      <c r="AE713" s="26"/>
      <c r="AF713" s="26"/>
      <c r="AG713" s="26"/>
      <c r="AH713" s="26"/>
    </row>
    <row r="714" spans="1:34" ht="15.75" customHeight="1">
      <c r="A714" s="26"/>
      <c r="B714" s="26"/>
      <c r="C714" s="26"/>
      <c r="D714" s="26"/>
      <c r="E714" s="26"/>
      <c r="F714" s="26"/>
      <c r="G714" s="26"/>
      <c r="H714" s="26"/>
      <c r="I714" s="26"/>
      <c r="J714" s="26"/>
      <c r="K714" s="56"/>
      <c r="L714" s="26"/>
      <c r="M714" s="26"/>
      <c r="N714" s="26"/>
      <c r="O714" s="26"/>
      <c r="P714" s="26"/>
      <c r="Q714" s="26"/>
      <c r="R714" s="26"/>
      <c r="S714" s="26"/>
      <c r="T714" s="26"/>
      <c r="U714" s="26"/>
      <c r="V714" s="26"/>
      <c r="W714" s="26"/>
      <c r="X714" s="26"/>
      <c r="Y714" s="26"/>
      <c r="Z714" s="26"/>
      <c r="AA714" s="26"/>
      <c r="AB714" s="26"/>
      <c r="AC714" s="26"/>
      <c r="AD714" s="26"/>
      <c r="AE714" s="26"/>
      <c r="AF714" s="26"/>
      <c r="AG714" s="26"/>
      <c r="AH714" s="26"/>
    </row>
    <row r="715" spans="1:34" ht="15.75" customHeight="1">
      <c r="A715" s="26"/>
      <c r="B715" s="26"/>
      <c r="C715" s="26"/>
      <c r="D715" s="26"/>
      <c r="E715" s="26"/>
      <c r="F715" s="26"/>
      <c r="G715" s="26"/>
      <c r="H715" s="26"/>
      <c r="I715" s="26"/>
      <c r="J715" s="26"/>
      <c r="K715" s="56"/>
      <c r="L715" s="26"/>
      <c r="M715" s="26"/>
      <c r="N715" s="26"/>
      <c r="O715" s="26"/>
      <c r="P715" s="26"/>
      <c r="Q715" s="26"/>
      <c r="R715" s="26"/>
      <c r="S715" s="26"/>
      <c r="T715" s="26"/>
      <c r="U715" s="26"/>
      <c r="V715" s="26"/>
      <c r="W715" s="26"/>
      <c r="X715" s="26"/>
      <c r="Y715" s="26"/>
      <c r="Z715" s="26"/>
      <c r="AA715" s="26"/>
      <c r="AB715" s="26"/>
      <c r="AC715" s="26"/>
      <c r="AD715" s="26"/>
      <c r="AE715" s="26"/>
      <c r="AF715" s="26"/>
      <c r="AG715" s="26"/>
      <c r="AH715" s="26"/>
    </row>
    <row r="716" spans="1:34" ht="15.75" customHeight="1">
      <c r="A716" s="26"/>
      <c r="B716" s="26"/>
      <c r="C716" s="26"/>
      <c r="D716" s="26"/>
      <c r="E716" s="26"/>
      <c r="F716" s="26"/>
      <c r="G716" s="26"/>
      <c r="H716" s="26"/>
      <c r="I716" s="26"/>
      <c r="J716" s="26"/>
      <c r="K716" s="56"/>
      <c r="L716" s="26"/>
      <c r="M716" s="26"/>
      <c r="N716" s="26"/>
      <c r="O716" s="26"/>
      <c r="P716" s="26"/>
      <c r="Q716" s="26"/>
      <c r="R716" s="26"/>
      <c r="S716" s="26"/>
      <c r="T716" s="26"/>
      <c r="U716" s="26"/>
      <c r="V716" s="26"/>
      <c r="W716" s="26"/>
      <c r="X716" s="26"/>
      <c r="Y716" s="26"/>
      <c r="Z716" s="26"/>
      <c r="AA716" s="26"/>
      <c r="AB716" s="26"/>
      <c r="AC716" s="26"/>
      <c r="AD716" s="26"/>
      <c r="AE716" s="26"/>
      <c r="AF716" s="26"/>
      <c r="AG716" s="26"/>
      <c r="AH716" s="26"/>
    </row>
    <row r="717" spans="1:34" ht="15.75" customHeight="1">
      <c r="A717" s="26"/>
      <c r="B717" s="26"/>
      <c r="C717" s="26"/>
      <c r="D717" s="26"/>
      <c r="E717" s="26"/>
      <c r="F717" s="26"/>
      <c r="G717" s="26"/>
      <c r="H717" s="26"/>
      <c r="I717" s="26"/>
      <c r="J717" s="26"/>
      <c r="K717" s="56"/>
      <c r="L717" s="26"/>
      <c r="M717" s="26"/>
      <c r="N717" s="26"/>
      <c r="O717" s="26"/>
      <c r="P717" s="26"/>
      <c r="Q717" s="26"/>
      <c r="R717" s="26"/>
      <c r="S717" s="26"/>
      <c r="T717" s="26"/>
      <c r="U717" s="26"/>
      <c r="V717" s="26"/>
      <c r="W717" s="26"/>
      <c r="X717" s="26"/>
      <c r="Y717" s="26"/>
      <c r="Z717" s="26"/>
      <c r="AA717" s="26"/>
      <c r="AB717" s="26"/>
      <c r="AC717" s="26"/>
      <c r="AD717" s="26"/>
      <c r="AE717" s="26"/>
      <c r="AF717" s="26"/>
      <c r="AG717" s="26"/>
      <c r="AH717" s="26"/>
    </row>
    <row r="718" spans="1:34" ht="15.75" customHeight="1">
      <c r="A718" s="26"/>
      <c r="B718" s="26"/>
      <c r="C718" s="26"/>
      <c r="D718" s="26"/>
      <c r="E718" s="26"/>
      <c r="F718" s="26"/>
      <c r="G718" s="26"/>
      <c r="H718" s="26"/>
      <c r="I718" s="26"/>
      <c r="J718" s="26"/>
      <c r="K718" s="56"/>
      <c r="L718" s="26"/>
      <c r="M718" s="26"/>
      <c r="N718" s="26"/>
      <c r="O718" s="26"/>
      <c r="P718" s="26"/>
      <c r="Q718" s="26"/>
      <c r="R718" s="26"/>
      <c r="S718" s="26"/>
      <c r="T718" s="26"/>
      <c r="U718" s="26"/>
      <c r="V718" s="26"/>
      <c r="W718" s="26"/>
      <c r="X718" s="26"/>
      <c r="Y718" s="26"/>
      <c r="Z718" s="26"/>
      <c r="AA718" s="26"/>
      <c r="AB718" s="26"/>
      <c r="AC718" s="26"/>
      <c r="AD718" s="26"/>
      <c r="AE718" s="26"/>
      <c r="AF718" s="26"/>
      <c r="AG718" s="26"/>
      <c r="AH718" s="26"/>
    </row>
    <row r="719" spans="1:34" ht="15.75" customHeight="1">
      <c r="A719" s="26"/>
      <c r="B719" s="26"/>
      <c r="C719" s="26"/>
      <c r="D719" s="26"/>
      <c r="E719" s="26"/>
      <c r="F719" s="26"/>
      <c r="G719" s="26"/>
      <c r="H719" s="26"/>
      <c r="I719" s="26"/>
      <c r="J719" s="26"/>
      <c r="K719" s="56"/>
      <c r="L719" s="26"/>
      <c r="M719" s="26"/>
      <c r="N719" s="26"/>
      <c r="O719" s="26"/>
      <c r="P719" s="26"/>
      <c r="Q719" s="26"/>
      <c r="R719" s="26"/>
      <c r="S719" s="26"/>
      <c r="T719" s="26"/>
      <c r="U719" s="26"/>
      <c r="V719" s="26"/>
      <c r="W719" s="26"/>
      <c r="X719" s="26"/>
      <c r="Y719" s="26"/>
      <c r="Z719" s="26"/>
      <c r="AA719" s="26"/>
      <c r="AB719" s="26"/>
      <c r="AC719" s="26"/>
      <c r="AD719" s="26"/>
      <c r="AE719" s="26"/>
      <c r="AF719" s="26"/>
      <c r="AG719" s="26"/>
      <c r="AH719" s="26"/>
    </row>
    <row r="720" spans="1:34" ht="15.75" customHeight="1">
      <c r="A720" s="26"/>
      <c r="B720" s="26"/>
      <c r="C720" s="26"/>
      <c r="D720" s="26"/>
      <c r="E720" s="26"/>
      <c r="F720" s="26"/>
      <c r="G720" s="26"/>
      <c r="H720" s="26"/>
      <c r="I720" s="26"/>
      <c r="J720" s="26"/>
      <c r="K720" s="56"/>
      <c r="L720" s="26"/>
      <c r="M720" s="26"/>
      <c r="N720" s="26"/>
      <c r="O720" s="26"/>
      <c r="P720" s="26"/>
      <c r="Q720" s="26"/>
      <c r="R720" s="26"/>
      <c r="S720" s="26"/>
      <c r="T720" s="26"/>
      <c r="U720" s="26"/>
      <c r="V720" s="26"/>
      <c r="W720" s="26"/>
      <c r="X720" s="26"/>
      <c r="Y720" s="26"/>
      <c r="Z720" s="26"/>
      <c r="AA720" s="26"/>
      <c r="AB720" s="26"/>
      <c r="AC720" s="26"/>
      <c r="AD720" s="26"/>
      <c r="AE720" s="26"/>
      <c r="AF720" s="26"/>
      <c r="AG720" s="26"/>
      <c r="AH720" s="26"/>
    </row>
    <row r="721" spans="1:34" ht="15.75" customHeight="1">
      <c r="A721" s="26"/>
      <c r="B721" s="26"/>
      <c r="C721" s="26"/>
      <c r="D721" s="26"/>
      <c r="E721" s="26"/>
      <c r="F721" s="26"/>
      <c r="G721" s="26"/>
      <c r="H721" s="26"/>
      <c r="I721" s="26"/>
      <c r="J721" s="26"/>
      <c r="K721" s="56"/>
      <c r="L721" s="26"/>
      <c r="M721" s="26"/>
      <c r="N721" s="26"/>
      <c r="O721" s="26"/>
      <c r="P721" s="26"/>
      <c r="Q721" s="26"/>
      <c r="R721" s="26"/>
      <c r="S721" s="26"/>
      <c r="T721" s="26"/>
      <c r="U721" s="26"/>
      <c r="V721" s="26"/>
      <c r="W721" s="26"/>
      <c r="X721" s="26"/>
      <c r="Y721" s="26"/>
      <c r="Z721" s="26"/>
      <c r="AA721" s="26"/>
      <c r="AB721" s="26"/>
      <c r="AC721" s="26"/>
      <c r="AD721" s="26"/>
      <c r="AE721" s="26"/>
      <c r="AF721" s="26"/>
      <c r="AG721" s="26"/>
      <c r="AH721" s="26"/>
    </row>
    <row r="722" spans="1:34" ht="15.75" customHeight="1">
      <c r="A722" s="26"/>
      <c r="B722" s="26"/>
      <c r="C722" s="26"/>
      <c r="D722" s="26"/>
      <c r="E722" s="26"/>
      <c r="F722" s="26"/>
      <c r="G722" s="26"/>
      <c r="H722" s="26"/>
      <c r="I722" s="26"/>
      <c r="J722" s="26"/>
      <c r="K722" s="56"/>
      <c r="L722" s="26"/>
      <c r="M722" s="26"/>
      <c r="N722" s="26"/>
      <c r="O722" s="26"/>
      <c r="P722" s="26"/>
      <c r="Q722" s="26"/>
      <c r="R722" s="26"/>
      <c r="S722" s="26"/>
      <c r="T722" s="26"/>
      <c r="U722" s="26"/>
      <c r="V722" s="26"/>
      <c r="W722" s="26"/>
      <c r="X722" s="26"/>
      <c r="Y722" s="26"/>
      <c r="Z722" s="26"/>
      <c r="AA722" s="26"/>
      <c r="AB722" s="26"/>
      <c r="AC722" s="26"/>
      <c r="AD722" s="26"/>
      <c r="AE722" s="26"/>
      <c r="AF722" s="26"/>
      <c r="AG722" s="26"/>
      <c r="AH722" s="26"/>
    </row>
    <row r="723" spans="1:34" ht="15.75" customHeight="1">
      <c r="A723" s="26"/>
      <c r="B723" s="26"/>
      <c r="C723" s="26"/>
      <c r="D723" s="26"/>
      <c r="E723" s="26"/>
      <c r="F723" s="26"/>
      <c r="G723" s="26"/>
      <c r="H723" s="26"/>
      <c r="I723" s="26"/>
      <c r="J723" s="26"/>
      <c r="K723" s="56"/>
      <c r="L723" s="26"/>
      <c r="M723" s="26"/>
      <c r="N723" s="26"/>
      <c r="O723" s="26"/>
      <c r="P723" s="26"/>
      <c r="Q723" s="26"/>
      <c r="R723" s="26"/>
      <c r="S723" s="26"/>
      <c r="T723" s="26"/>
      <c r="U723" s="26"/>
      <c r="V723" s="26"/>
      <c r="W723" s="26"/>
      <c r="X723" s="26"/>
      <c r="Y723" s="26"/>
      <c r="Z723" s="26"/>
      <c r="AA723" s="26"/>
      <c r="AB723" s="26"/>
      <c r="AC723" s="26"/>
      <c r="AD723" s="26"/>
      <c r="AE723" s="26"/>
      <c r="AF723" s="26"/>
      <c r="AG723" s="26"/>
      <c r="AH723" s="26"/>
    </row>
    <row r="724" spans="1:34" ht="15.75" customHeight="1">
      <c r="A724" s="26"/>
      <c r="B724" s="26"/>
      <c r="C724" s="26"/>
      <c r="D724" s="26"/>
      <c r="E724" s="26"/>
      <c r="F724" s="26"/>
      <c r="G724" s="26"/>
      <c r="H724" s="26"/>
      <c r="I724" s="26"/>
      <c r="J724" s="26"/>
      <c r="K724" s="56"/>
      <c r="L724" s="26"/>
      <c r="M724" s="26"/>
      <c r="N724" s="26"/>
      <c r="O724" s="26"/>
      <c r="P724" s="26"/>
      <c r="Q724" s="26"/>
      <c r="R724" s="26"/>
      <c r="S724" s="26"/>
      <c r="T724" s="26"/>
      <c r="U724" s="26"/>
      <c r="V724" s="26"/>
      <c r="W724" s="26"/>
      <c r="X724" s="26"/>
      <c r="Y724" s="26"/>
      <c r="Z724" s="26"/>
      <c r="AA724" s="26"/>
      <c r="AB724" s="26"/>
      <c r="AC724" s="26"/>
      <c r="AD724" s="26"/>
      <c r="AE724" s="26"/>
      <c r="AF724" s="26"/>
      <c r="AG724" s="26"/>
      <c r="AH724" s="26"/>
    </row>
    <row r="725" spans="1:34" ht="15.75" customHeight="1">
      <c r="A725" s="26"/>
      <c r="B725" s="26"/>
      <c r="C725" s="26"/>
      <c r="D725" s="26"/>
      <c r="E725" s="26"/>
      <c r="F725" s="26"/>
      <c r="G725" s="26"/>
      <c r="H725" s="26"/>
      <c r="I725" s="26"/>
      <c r="J725" s="26"/>
      <c r="K725" s="56"/>
      <c r="L725" s="26"/>
      <c r="M725" s="26"/>
      <c r="N725" s="26"/>
      <c r="O725" s="26"/>
      <c r="P725" s="26"/>
      <c r="Q725" s="26"/>
      <c r="R725" s="26"/>
      <c r="S725" s="26"/>
      <c r="T725" s="26"/>
      <c r="U725" s="26"/>
      <c r="V725" s="26"/>
      <c r="W725" s="26"/>
      <c r="X725" s="26"/>
      <c r="Y725" s="26"/>
      <c r="Z725" s="26"/>
      <c r="AA725" s="26"/>
      <c r="AB725" s="26"/>
      <c r="AC725" s="26"/>
      <c r="AD725" s="26"/>
      <c r="AE725" s="26"/>
      <c r="AF725" s="26"/>
      <c r="AG725" s="26"/>
      <c r="AH725" s="26"/>
    </row>
    <row r="726" spans="1:34" ht="15.75" customHeight="1">
      <c r="A726" s="26"/>
      <c r="B726" s="26"/>
      <c r="C726" s="26"/>
      <c r="D726" s="26"/>
      <c r="E726" s="26"/>
      <c r="F726" s="26"/>
      <c r="G726" s="26"/>
      <c r="H726" s="26"/>
      <c r="I726" s="26"/>
      <c r="J726" s="26"/>
      <c r="K726" s="56"/>
      <c r="L726" s="26"/>
      <c r="M726" s="26"/>
      <c r="N726" s="26"/>
      <c r="O726" s="26"/>
      <c r="P726" s="26"/>
      <c r="Q726" s="26"/>
      <c r="R726" s="26"/>
      <c r="S726" s="26"/>
      <c r="T726" s="26"/>
      <c r="U726" s="26"/>
      <c r="V726" s="26"/>
      <c r="W726" s="26"/>
      <c r="X726" s="26"/>
      <c r="Y726" s="26"/>
      <c r="Z726" s="26"/>
      <c r="AA726" s="26"/>
      <c r="AB726" s="26"/>
      <c r="AC726" s="26"/>
      <c r="AD726" s="26"/>
      <c r="AE726" s="26"/>
      <c r="AF726" s="26"/>
      <c r="AG726" s="26"/>
      <c r="AH726" s="26"/>
    </row>
    <row r="727" spans="1:34" ht="15.75" customHeight="1">
      <c r="A727" s="26"/>
      <c r="B727" s="26"/>
      <c r="C727" s="26"/>
      <c r="D727" s="26"/>
      <c r="E727" s="26"/>
      <c r="F727" s="26"/>
      <c r="G727" s="26"/>
      <c r="H727" s="26"/>
      <c r="I727" s="26"/>
      <c r="J727" s="26"/>
      <c r="K727" s="56"/>
      <c r="L727" s="26"/>
      <c r="M727" s="26"/>
      <c r="N727" s="26"/>
      <c r="O727" s="26"/>
      <c r="P727" s="26"/>
      <c r="Q727" s="26"/>
      <c r="R727" s="26"/>
      <c r="S727" s="26"/>
      <c r="T727" s="26"/>
      <c r="U727" s="26"/>
      <c r="V727" s="26"/>
      <c r="W727" s="26"/>
      <c r="X727" s="26"/>
      <c r="Y727" s="26"/>
      <c r="Z727" s="26"/>
      <c r="AA727" s="26"/>
      <c r="AB727" s="26"/>
      <c r="AC727" s="26"/>
      <c r="AD727" s="26"/>
      <c r="AE727" s="26"/>
      <c r="AF727" s="26"/>
      <c r="AG727" s="26"/>
      <c r="AH727" s="26"/>
    </row>
    <row r="728" spans="1:34" ht="15.75" customHeight="1">
      <c r="A728" s="26"/>
      <c r="B728" s="26"/>
      <c r="C728" s="26"/>
      <c r="D728" s="26"/>
      <c r="E728" s="26"/>
      <c r="F728" s="26"/>
      <c r="G728" s="26"/>
      <c r="H728" s="26"/>
      <c r="I728" s="26"/>
      <c r="J728" s="26"/>
      <c r="K728" s="56"/>
      <c r="L728" s="26"/>
      <c r="M728" s="26"/>
      <c r="N728" s="26"/>
      <c r="O728" s="26"/>
      <c r="P728" s="26"/>
      <c r="Q728" s="26"/>
      <c r="R728" s="26"/>
      <c r="S728" s="26"/>
      <c r="T728" s="26"/>
      <c r="U728" s="26"/>
      <c r="V728" s="26"/>
      <c r="W728" s="26"/>
      <c r="X728" s="26"/>
      <c r="Y728" s="26"/>
      <c r="Z728" s="26"/>
      <c r="AA728" s="26"/>
      <c r="AB728" s="26"/>
      <c r="AC728" s="26"/>
      <c r="AD728" s="26"/>
      <c r="AE728" s="26"/>
      <c r="AF728" s="26"/>
      <c r="AG728" s="26"/>
      <c r="AH728" s="26"/>
    </row>
    <row r="729" spans="1:34" ht="15.75" customHeight="1">
      <c r="A729" s="26"/>
      <c r="B729" s="26"/>
      <c r="C729" s="26"/>
      <c r="D729" s="26"/>
      <c r="E729" s="26"/>
      <c r="F729" s="26"/>
      <c r="G729" s="26"/>
      <c r="H729" s="26"/>
      <c r="I729" s="26"/>
      <c r="J729" s="26"/>
      <c r="K729" s="56"/>
      <c r="L729" s="26"/>
      <c r="M729" s="26"/>
      <c r="N729" s="26"/>
      <c r="O729" s="26"/>
      <c r="P729" s="26"/>
      <c r="Q729" s="26"/>
      <c r="R729" s="26"/>
      <c r="S729" s="26"/>
      <c r="T729" s="26"/>
      <c r="U729" s="26"/>
      <c r="V729" s="26"/>
      <c r="W729" s="26"/>
      <c r="X729" s="26"/>
      <c r="Y729" s="26"/>
      <c r="Z729" s="26"/>
      <c r="AA729" s="26"/>
      <c r="AB729" s="26"/>
      <c r="AC729" s="26"/>
      <c r="AD729" s="26"/>
      <c r="AE729" s="26"/>
      <c r="AF729" s="26"/>
      <c r="AG729" s="26"/>
      <c r="AH729" s="26"/>
    </row>
    <row r="730" spans="1:34" ht="15.75" customHeight="1">
      <c r="A730" s="26"/>
      <c r="B730" s="26"/>
      <c r="C730" s="26"/>
      <c r="D730" s="26"/>
      <c r="E730" s="26"/>
      <c r="F730" s="26"/>
      <c r="G730" s="26"/>
      <c r="H730" s="26"/>
      <c r="I730" s="26"/>
      <c r="J730" s="26"/>
      <c r="K730" s="56"/>
      <c r="L730" s="26"/>
      <c r="M730" s="26"/>
      <c r="N730" s="26"/>
      <c r="O730" s="26"/>
      <c r="P730" s="26"/>
      <c r="Q730" s="26"/>
      <c r="R730" s="26"/>
      <c r="S730" s="26"/>
      <c r="T730" s="26"/>
      <c r="U730" s="26"/>
      <c r="V730" s="26"/>
      <c r="W730" s="26"/>
      <c r="X730" s="26"/>
      <c r="Y730" s="26"/>
      <c r="Z730" s="26"/>
      <c r="AA730" s="26"/>
      <c r="AB730" s="26"/>
      <c r="AC730" s="26"/>
      <c r="AD730" s="26"/>
      <c r="AE730" s="26"/>
      <c r="AF730" s="26"/>
      <c r="AG730" s="26"/>
      <c r="AH730" s="26"/>
    </row>
    <row r="731" spans="1:34" ht="15.75" customHeight="1">
      <c r="A731" s="26"/>
      <c r="B731" s="26"/>
      <c r="C731" s="26"/>
      <c r="D731" s="26"/>
      <c r="E731" s="26"/>
      <c r="F731" s="26"/>
      <c r="G731" s="26"/>
      <c r="H731" s="26"/>
      <c r="I731" s="26"/>
      <c r="J731" s="26"/>
      <c r="K731" s="5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row>
    <row r="732" spans="1:34" ht="15.75" customHeight="1">
      <c r="A732" s="26"/>
      <c r="B732" s="26"/>
      <c r="C732" s="26"/>
      <c r="D732" s="26"/>
      <c r="E732" s="26"/>
      <c r="F732" s="26"/>
      <c r="G732" s="26"/>
      <c r="H732" s="26"/>
      <c r="I732" s="26"/>
      <c r="J732" s="26"/>
      <c r="K732" s="56"/>
      <c r="L732" s="26"/>
      <c r="M732" s="26"/>
      <c r="N732" s="26"/>
      <c r="O732" s="26"/>
      <c r="P732" s="26"/>
      <c r="Q732" s="26"/>
      <c r="R732" s="26"/>
      <c r="S732" s="26"/>
      <c r="T732" s="26"/>
      <c r="U732" s="26"/>
      <c r="V732" s="26"/>
      <c r="W732" s="26"/>
      <c r="X732" s="26"/>
      <c r="Y732" s="26"/>
      <c r="Z732" s="26"/>
      <c r="AA732" s="26"/>
      <c r="AB732" s="26"/>
      <c r="AC732" s="26"/>
      <c r="AD732" s="26"/>
      <c r="AE732" s="26"/>
      <c r="AF732" s="26"/>
      <c r="AG732" s="26"/>
      <c r="AH732" s="26"/>
    </row>
    <row r="733" spans="1:34" ht="15.75" customHeight="1">
      <c r="A733" s="26"/>
      <c r="B733" s="26"/>
      <c r="C733" s="26"/>
      <c r="D733" s="26"/>
      <c r="E733" s="26"/>
      <c r="F733" s="26"/>
      <c r="G733" s="26"/>
      <c r="H733" s="26"/>
      <c r="I733" s="26"/>
      <c r="J733" s="26"/>
      <c r="K733" s="56"/>
      <c r="L733" s="26"/>
      <c r="M733" s="26"/>
      <c r="N733" s="26"/>
      <c r="O733" s="26"/>
      <c r="P733" s="26"/>
      <c r="Q733" s="26"/>
      <c r="R733" s="26"/>
      <c r="S733" s="26"/>
      <c r="T733" s="26"/>
      <c r="U733" s="26"/>
      <c r="V733" s="26"/>
      <c r="W733" s="26"/>
      <c r="X733" s="26"/>
      <c r="Y733" s="26"/>
      <c r="Z733" s="26"/>
      <c r="AA733" s="26"/>
      <c r="AB733" s="26"/>
      <c r="AC733" s="26"/>
      <c r="AD733" s="26"/>
      <c r="AE733" s="26"/>
      <c r="AF733" s="26"/>
      <c r="AG733" s="26"/>
      <c r="AH733" s="26"/>
    </row>
    <row r="734" spans="1:34" ht="15.75" customHeight="1">
      <c r="A734" s="26"/>
      <c r="B734" s="26"/>
      <c r="C734" s="26"/>
      <c r="D734" s="26"/>
      <c r="E734" s="26"/>
      <c r="F734" s="26"/>
      <c r="G734" s="26"/>
      <c r="H734" s="26"/>
      <c r="I734" s="26"/>
      <c r="J734" s="26"/>
      <c r="K734" s="56"/>
      <c r="L734" s="26"/>
      <c r="M734" s="26"/>
      <c r="N734" s="26"/>
      <c r="O734" s="26"/>
      <c r="P734" s="26"/>
      <c r="Q734" s="26"/>
      <c r="R734" s="26"/>
      <c r="S734" s="26"/>
      <c r="T734" s="26"/>
      <c r="U734" s="26"/>
      <c r="V734" s="26"/>
      <c r="W734" s="26"/>
      <c r="X734" s="26"/>
      <c r="Y734" s="26"/>
      <c r="Z734" s="26"/>
      <c r="AA734" s="26"/>
      <c r="AB734" s="26"/>
      <c r="AC734" s="26"/>
      <c r="AD734" s="26"/>
      <c r="AE734" s="26"/>
      <c r="AF734" s="26"/>
      <c r="AG734" s="26"/>
      <c r="AH734" s="26"/>
    </row>
    <row r="735" spans="1:34" ht="15.75" customHeight="1">
      <c r="A735" s="26"/>
      <c r="B735" s="26"/>
      <c r="C735" s="26"/>
      <c r="D735" s="26"/>
      <c r="E735" s="26"/>
      <c r="F735" s="26"/>
      <c r="G735" s="26"/>
      <c r="H735" s="26"/>
      <c r="I735" s="26"/>
      <c r="J735" s="26"/>
      <c r="K735" s="56"/>
      <c r="L735" s="26"/>
      <c r="M735" s="26"/>
      <c r="N735" s="26"/>
      <c r="O735" s="26"/>
      <c r="P735" s="26"/>
      <c r="Q735" s="26"/>
      <c r="R735" s="26"/>
      <c r="S735" s="26"/>
      <c r="T735" s="26"/>
      <c r="U735" s="26"/>
      <c r="V735" s="26"/>
      <c r="W735" s="26"/>
      <c r="X735" s="26"/>
      <c r="Y735" s="26"/>
      <c r="Z735" s="26"/>
      <c r="AA735" s="26"/>
      <c r="AB735" s="26"/>
      <c r="AC735" s="26"/>
      <c r="AD735" s="26"/>
      <c r="AE735" s="26"/>
      <c r="AF735" s="26"/>
      <c r="AG735" s="26"/>
      <c r="AH735" s="26"/>
    </row>
    <row r="736" spans="1:34" ht="15.75" customHeight="1">
      <c r="A736" s="26"/>
      <c r="B736" s="26"/>
      <c r="C736" s="26"/>
      <c r="D736" s="26"/>
      <c r="E736" s="26"/>
      <c r="F736" s="26"/>
      <c r="G736" s="26"/>
      <c r="H736" s="26"/>
      <c r="I736" s="26"/>
      <c r="J736" s="26"/>
      <c r="K736" s="56"/>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row>
    <row r="737" spans="1:34" ht="15.75" customHeight="1">
      <c r="A737" s="26"/>
      <c r="B737" s="26"/>
      <c r="C737" s="26"/>
      <c r="D737" s="26"/>
      <c r="E737" s="26"/>
      <c r="F737" s="26"/>
      <c r="G737" s="26"/>
      <c r="H737" s="26"/>
      <c r="I737" s="26"/>
      <c r="J737" s="26"/>
      <c r="K737" s="56"/>
      <c r="L737" s="26"/>
      <c r="M737" s="26"/>
      <c r="N737" s="26"/>
      <c r="O737" s="26"/>
      <c r="P737" s="26"/>
      <c r="Q737" s="26"/>
      <c r="R737" s="26"/>
      <c r="S737" s="26"/>
      <c r="T737" s="26"/>
      <c r="U737" s="26"/>
      <c r="V737" s="26"/>
      <c r="W737" s="26"/>
      <c r="X737" s="26"/>
      <c r="Y737" s="26"/>
      <c r="Z737" s="26"/>
      <c r="AA737" s="26"/>
      <c r="AB737" s="26"/>
      <c r="AC737" s="26"/>
      <c r="AD737" s="26"/>
      <c r="AE737" s="26"/>
      <c r="AF737" s="26"/>
      <c r="AG737" s="26"/>
      <c r="AH737" s="26"/>
    </row>
    <row r="738" spans="1:34" ht="15.75" customHeight="1">
      <c r="A738" s="26"/>
      <c r="B738" s="26"/>
      <c r="C738" s="26"/>
      <c r="D738" s="26"/>
      <c r="E738" s="26"/>
      <c r="F738" s="26"/>
      <c r="G738" s="26"/>
      <c r="H738" s="26"/>
      <c r="I738" s="26"/>
      <c r="J738" s="26"/>
      <c r="K738" s="56"/>
      <c r="L738" s="26"/>
      <c r="M738" s="26"/>
      <c r="N738" s="26"/>
      <c r="O738" s="26"/>
      <c r="P738" s="26"/>
      <c r="Q738" s="26"/>
      <c r="R738" s="26"/>
      <c r="S738" s="26"/>
      <c r="T738" s="26"/>
      <c r="U738" s="26"/>
      <c r="V738" s="26"/>
      <c r="W738" s="26"/>
      <c r="X738" s="26"/>
      <c r="Y738" s="26"/>
      <c r="Z738" s="26"/>
      <c r="AA738" s="26"/>
      <c r="AB738" s="26"/>
      <c r="AC738" s="26"/>
      <c r="AD738" s="26"/>
      <c r="AE738" s="26"/>
      <c r="AF738" s="26"/>
      <c r="AG738" s="26"/>
      <c r="AH738" s="26"/>
    </row>
    <row r="739" spans="1:34" ht="15.75" customHeight="1">
      <c r="A739" s="26"/>
      <c r="B739" s="26"/>
      <c r="C739" s="26"/>
      <c r="D739" s="26"/>
      <c r="E739" s="26"/>
      <c r="F739" s="26"/>
      <c r="G739" s="26"/>
      <c r="H739" s="26"/>
      <c r="I739" s="26"/>
      <c r="J739" s="26"/>
      <c r="K739" s="56"/>
      <c r="L739" s="26"/>
      <c r="M739" s="26"/>
      <c r="N739" s="26"/>
      <c r="O739" s="26"/>
      <c r="P739" s="26"/>
      <c r="Q739" s="26"/>
      <c r="R739" s="26"/>
      <c r="S739" s="26"/>
      <c r="T739" s="26"/>
      <c r="U739" s="26"/>
      <c r="V739" s="26"/>
      <c r="W739" s="26"/>
      <c r="X739" s="26"/>
      <c r="Y739" s="26"/>
      <c r="Z739" s="26"/>
      <c r="AA739" s="26"/>
      <c r="AB739" s="26"/>
      <c r="AC739" s="26"/>
      <c r="AD739" s="26"/>
      <c r="AE739" s="26"/>
      <c r="AF739" s="26"/>
      <c r="AG739" s="26"/>
      <c r="AH739" s="26"/>
    </row>
    <row r="740" spans="1:34" ht="15.75" customHeight="1">
      <c r="A740" s="26"/>
      <c r="B740" s="26"/>
      <c r="C740" s="26"/>
      <c r="D740" s="26"/>
      <c r="E740" s="26"/>
      <c r="F740" s="26"/>
      <c r="G740" s="26"/>
      <c r="H740" s="26"/>
      <c r="I740" s="26"/>
      <c r="J740" s="26"/>
      <c r="K740" s="56"/>
      <c r="L740" s="26"/>
      <c r="M740" s="26"/>
      <c r="N740" s="26"/>
      <c r="O740" s="26"/>
      <c r="P740" s="26"/>
      <c r="Q740" s="26"/>
      <c r="R740" s="26"/>
      <c r="S740" s="26"/>
      <c r="T740" s="26"/>
      <c r="U740" s="26"/>
      <c r="V740" s="26"/>
      <c r="W740" s="26"/>
      <c r="X740" s="26"/>
      <c r="Y740" s="26"/>
      <c r="Z740" s="26"/>
      <c r="AA740" s="26"/>
      <c r="AB740" s="26"/>
      <c r="AC740" s="26"/>
      <c r="AD740" s="26"/>
      <c r="AE740" s="26"/>
      <c r="AF740" s="26"/>
      <c r="AG740" s="26"/>
      <c r="AH740" s="26"/>
    </row>
    <row r="741" spans="1:34" ht="15.75" customHeight="1">
      <c r="A741" s="26"/>
      <c r="B741" s="26"/>
      <c r="C741" s="26"/>
      <c r="D741" s="26"/>
      <c r="E741" s="26"/>
      <c r="F741" s="26"/>
      <c r="G741" s="26"/>
      <c r="H741" s="26"/>
      <c r="I741" s="26"/>
      <c r="J741" s="26"/>
      <c r="K741" s="56"/>
      <c r="L741" s="26"/>
      <c r="M741" s="26"/>
      <c r="N741" s="26"/>
      <c r="O741" s="26"/>
      <c r="P741" s="26"/>
      <c r="Q741" s="26"/>
      <c r="R741" s="26"/>
      <c r="S741" s="26"/>
      <c r="T741" s="26"/>
      <c r="U741" s="26"/>
      <c r="V741" s="26"/>
      <c r="W741" s="26"/>
      <c r="X741" s="26"/>
      <c r="Y741" s="26"/>
      <c r="Z741" s="26"/>
      <c r="AA741" s="26"/>
      <c r="AB741" s="26"/>
      <c r="AC741" s="26"/>
      <c r="AD741" s="26"/>
      <c r="AE741" s="26"/>
      <c r="AF741" s="26"/>
      <c r="AG741" s="26"/>
      <c r="AH741" s="26"/>
    </row>
    <row r="742" spans="1:34" ht="15.75" customHeight="1">
      <c r="A742" s="26"/>
      <c r="B742" s="26"/>
      <c r="C742" s="26"/>
      <c r="D742" s="26"/>
      <c r="E742" s="26"/>
      <c r="F742" s="26"/>
      <c r="G742" s="26"/>
      <c r="H742" s="26"/>
      <c r="I742" s="26"/>
      <c r="J742" s="26"/>
      <c r="K742" s="56"/>
      <c r="L742" s="26"/>
      <c r="M742" s="26"/>
      <c r="N742" s="26"/>
      <c r="O742" s="26"/>
      <c r="P742" s="26"/>
      <c r="Q742" s="26"/>
      <c r="R742" s="26"/>
      <c r="S742" s="26"/>
      <c r="T742" s="26"/>
      <c r="U742" s="26"/>
      <c r="V742" s="26"/>
      <c r="W742" s="26"/>
      <c r="X742" s="26"/>
      <c r="Y742" s="26"/>
      <c r="Z742" s="26"/>
      <c r="AA742" s="26"/>
      <c r="AB742" s="26"/>
      <c r="AC742" s="26"/>
      <c r="AD742" s="26"/>
      <c r="AE742" s="26"/>
      <c r="AF742" s="26"/>
      <c r="AG742" s="26"/>
      <c r="AH742" s="26"/>
    </row>
    <row r="743" spans="1:34" ht="15.75" customHeight="1">
      <c r="A743" s="26"/>
      <c r="B743" s="26"/>
      <c r="C743" s="26"/>
      <c r="D743" s="26"/>
      <c r="E743" s="26"/>
      <c r="F743" s="26"/>
      <c r="G743" s="26"/>
      <c r="H743" s="26"/>
      <c r="I743" s="26"/>
      <c r="J743" s="26"/>
      <c r="K743" s="56"/>
      <c r="L743" s="26"/>
      <c r="M743" s="26"/>
      <c r="N743" s="26"/>
      <c r="O743" s="26"/>
      <c r="P743" s="26"/>
      <c r="Q743" s="26"/>
      <c r="R743" s="26"/>
      <c r="S743" s="26"/>
      <c r="T743" s="26"/>
      <c r="U743" s="26"/>
      <c r="V743" s="26"/>
      <c r="W743" s="26"/>
      <c r="X743" s="26"/>
      <c r="Y743" s="26"/>
      <c r="Z743" s="26"/>
      <c r="AA743" s="26"/>
      <c r="AB743" s="26"/>
      <c r="AC743" s="26"/>
      <c r="AD743" s="26"/>
      <c r="AE743" s="26"/>
      <c r="AF743" s="26"/>
      <c r="AG743" s="26"/>
      <c r="AH743" s="26"/>
    </row>
    <row r="744" spans="1:34" ht="15.75" customHeight="1">
      <c r="A744" s="26"/>
      <c r="B744" s="26"/>
      <c r="C744" s="26"/>
      <c r="D744" s="26"/>
      <c r="E744" s="26"/>
      <c r="F744" s="26"/>
      <c r="G744" s="26"/>
      <c r="H744" s="26"/>
      <c r="I744" s="26"/>
      <c r="J744" s="26"/>
      <c r="K744" s="56"/>
      <c r="L744" s="26"/>
      <c r="M744" s="26"/>
      <c r="N744" s="26"/>
      <c r="O744" s="26"/>
      <c r="P744" s="26"/>
      <c r="Q744" s="26"/>
      <c r="R744" s="26"/>
      <c r="S744" s="26"/>
      <c r="T744" s="26"/>
      <c r="U744" s="26"/>
      <c r="V744" s="26"/>
      <c r="W744" s="26"/>
      <c r="X744" s="26"/>
      <c r="Y744" s="26"/>
      <c r="Z744" s="26"/>
      <c r="AA744" s="26"/>
      <c r="AB744" s="26"/>
      <c r="AC744" s="26"/>
      <c r="AD744" s="26"/>
      <c r="AE744" s="26"/>
      <c r="AF744" s="26"/>
      <c r="AG744" s="26"/>
      <c r="AH744" s="26"/>
    </row>
    <row r="745" spans="1:34" ht="15.75" customHeight="1">
      <c r="A745" s="26"/>
      <c r="B745" s="26"/>
      <c r="C745" s="26"/>
      <c r="D745" s="26"/>
      <c r="E745" s="26"/>
      <c r="F745" s="26"/>
      <c r="G745" s="26"/>
      <c r="H745" s="26"/>
      <c r="I745" s="26"/>
      <c r="J745" s="26"/>
      <c r="K745" s="56"/>
      <c r="L745" s="26"/>
      <c r="M745" s="26"/>
      <c r="N745" s="26"/>
      <c r="O745" s="26"/>
      <c r="P745" s="26"/>
      <c r="Q745" s="26"/>
      <c r="R745" s="26"/>
      <c r="S745" s="26"/>
      <c r="T745" s="26"/>
      <c r="U745" s="26"/>
      <c r="V745" s="26"/>
      <c r="W745" s="26"/>
      <c r="X745" s="26"/>
      <c r="Y745" s="26"/>
      <c r="Z745" s="26"/>
      <c r="AA745" s="26"/>
      <c r="AB745" s="26"/>
      <c r="AC745" s="26"/>
      <c r="AD745" s="26"/>
      <c r="AE745" s="26"/>
      <c r="AF745" s="26"/>
      <c r="AG745" s="26"/>
      <c r="AH745" s="26"/>
    </row>
    <row r="746" spans="1:34" ht="15.75" customHeight="1">
      <c r="A746" s="26"/>
      <c r="B746" s="26"/>
      <c r="C746" s="26"/>
      <c r="D746" s="26"/>
      <c r="E746" s="26"/>
      <c r="F746" s="26"/>
      <c r="G746" s="26"/>
      <c r="H746" s="26"/>
      <c r="I746" s="26"/>
      <c r="J746" s="26"/>
      <c r="K746" s="56"/>
      <c r="L746" s="26"/>
      <c r="M746" s="26"/>
      <c r="N746" s="26"/>
      <c r="O746" s="26"/>
      <c r="P746" s="26"/>
      <c r="Q746" s="26"/>
      <c r="R746" s="26"/>
      <c r="S746" s="26"/>
      <c r="T746" s="26"/>
      <c r="U746" s="26"/>
      <c r="V746" s="26"/>
      <c r="W746" s="26"/>
      <c r="X746" s="26"/>
      <c r="Y746" s="26"/>
      <c r="Z746" s="26"/>
      <c r="AA746" s="26"/>
      <c r="AB746" s="26"/>
      <c r="AC746" s="26"/>
      <c r="AD746" s="26"/>
      <c r="AE746" s="26"/>
      <c r="AF746" s="26"/>
      <c r="AG746" s="26"/>
      <c r="AH746" s="26"/>
    </row>
    <row r="747" spans="1:34" ht="15.75" customHeight="1">
      <c r="A747" s="26"/>
      <c r="B747" s="26"/>
      <c r="C747" s="26"/>
      <c r="D747" s="26"/>
      <c r="E747" s="26"/>
      <c r="F747" s="26"/>
      <c r="G747" s="26"/>
      <c r="H747" s="26"/>
      <c r="I747" s="26"/>
      <c r="J747" s="26"/>
      <c r="K747" s="56"/>
      <c r="L747" s="26"/>
      <c r="M747" s="26"/>
      <c r="N747" s="26"/>
      <c r="O747" s="26"/>
      <c r="P747" s="26"/>
      <c r="Q747" s="26"/>
      <c r="R747" s="26"/>
      <c r="S747" s="26"/>
      <c r="T747" s="26"/>
      <c r="U747" s="26"/>
      <c r="V747" s="26"/>
      <c r="W747" s="26"/>
      <c r="X747" s="26"/>
      <c r="Y747" s="26"/>
      <c r="Z747" s="26"/>
      <c r="AA747" s="26"/>
      <c r="AB747" s="26"/>
      <c r="AC747" s="26"/>
      <c r="AD747" s="26"/>
      <c r="AE747" s="26"/>
      <c r="AF747" s="26"/>
      <c r="AG747" s="26"/>
      <c r="AH747" s="26"/>
    </row>
    <row r="748" spans="1:34" ht="15.75" customHeight="1">
      <c r="A748" s="26"/>
      <c r="B748" s="26"/>
      <c r="C748" s="26"/>
      <c r="D748" s="26"/>
      <c r="E748" s="26"/>
      <c r="F748" s="26"/>
      <c r="G748" s="26"/>
      <c r="H748" s="26"/>
      <c r="I748" s="26"/>
      <c r="J748" s="26"/>
      <c r="K748" s="56"/>
      <c r="L748" s="26"/>
      <c r="M748" s="26"/>
      <c r="N748" s="26"/>
      <c r="O748" s="26"/>
      <c r="P748" s="26"/>
      <c r="Q748" s="26"/>
      <c r="R748" s="26"/>
      <c r="S748" s="26"/>
      <c r="T748" s="26"/>
      <c r="U748" s="26"/>
      <c r="V748" s="26"/>
      <c r="W748" s="26"/>
      <c r="X748" s="26"/>
      <c r="Y748" s="26"/>
      <c r="Z748" s="26"/>
      <c r="AA748" s="26"/>
      <c r="AB748" s="26"/>
      <c r="AC748" s="26"/>
      <c r="AD748" s="26"/>
      <c r="AE748" s="26"/>
      <c r="AF748" s="26"/>
      <c r="AG748" s="26"/>
      <c r="AH748" s="26"/>
    </row>
    <row r="749" spans="1:34" ht="15.75" customHeight="1">
      <c r="A749" s="26"/>
      <c r="B749" s="26"/>
      <c r="C749" s="26"/>
      <c r="D749" s="26"/>
      <c r="E749" s="26"/>
      <c r="F749" s="26"/>
      <c r="G749" s="26"/>
      <c r="H749" s="26"/>
      <c r="I749" s="26"/>
      <c r="J749" s="26"/>
      <c r="K749" s="56"/>
      <c r="L749" s="26"/>
      <c r="M749" s="26"/>
      <c r="N749" s="26"/>
      <c r="O749" s="26"/>
      <c r="P749" s="26"/>
      <c r="Q749" s="26"/>
      <c r="R749" s="26"/>
      <c r="S749" s="26"/>
      <c r="T749" s="26"/>
      <c r="U749" s="26"/>
      <c r="V749" s="26"/>
      <c r="W749" s="26"/>
      <c r="X749" s="26"/>
      <c r="Y749" s="26"/>
      <c r="Z749" s="26"/>
      <c r="AA749" s="26"/>
      <c r="AB749" s="26"/>
      <c r="AC749" s="26"/>
      <c r="AD749" s="26"/>
      <c r="AE749" s="26"/>
      <c r="AF749" s="26"/>
      <c r="AG749" s="26"/>
      <c r="AH749" s="26"/>
    </row>
    <row r="750" spans="1:34" ht="15.75" customHeight="1">
      <c r="A750" s="26"/>
      <c r="B750" s="26"/>
      <c r="C750" s="26"/>
      <c r="D750" s="26"/>
      <c r="E750" s="26"/>
      <c r="F750" s="26"/>
      <c r="G750" s="26"/>
      <c r="H750" s="26"/>
      <c r="I750" s="26"/>
      <c r="J750" s="26"/>
      <c r="K750" s="56"/>
      <c r="L750" s="26"/>
      <c r="M750" s="26"/>
      <c r="N750" s="26"/>
      <c r="O750" s="26"/>
      <c r="P750" s="26"/>
      <c r="Q750" s="26"/>
      <c r="R750" s="26"/>
      <c r="S750" s="26"/>
      <c r="T750" s="26"/>
      <c r="U750" s="26"/>
      <c r="V750" s="26"/>
      <c r="W750" s="26"/>
      <c r="X750" s="26"/>
      <c r="Y750" s="26"/>
      <c r="Z750" s="26"/>
      <c r="AA750" s="26"/>
      <c r="AB750" s="26"/>
      <c r="AC750" s="26"/>
      <c r="AD750" s="26"/>
      <c r="AE750" s="26"/>
      <c r="AF750" s="26"/>
      <c r="AG750" s="26"/>
      <c r="AH750" s="26"/>
    </row>
    <row r="751" spans="1:34" ht="15.75" customHeight="1">
      <c r="A751" s="26"/>
      <c r="B751" s="26"/>
      <c r="C751" s="26"/>
      <c r="D751" s="26"/>
      <c r="E751" s="26"/>
      <c r="F751" s="26"/>
      <c r="G751" s="26"/>
      <c r="H751" s="26"/>
      <c r="I751" s="26"/>
      <c r="J751" s="26"/>
      <c r="K751" s="56"/>
      <c r="L751" s="26"/>
      <c r="M751" s="26"/>
      <c r="N751" s="26"/>
      <c r="O751" s="26"/>
      <c r="P751" s="26"/>
      <c r="Q751" s="26"/>
      <c r="R751" s="26"/>
      <c r="S751" s="26"/>
      <c r="T751" s="26"/>
      <c r="U751" s="26"/>
      <c r="V751" s="26"/>
      <c r="W751" s="26"/>
      <c r="X751" s="26"/>
      <c r="Y751" s="26"/>
      <c r="Z751" s="26"/>
      <c r="AA751" s="26"/>
      <c r="AB751" s="26"/>
      <c r="AC751" s="26"/>
      <c r="AD751" s="26"/>
      <c r="AE751" s="26"/>
      <c r="AF751" s="26"/>
      <c r="AG751" s="26"/>
      <c r="AH751" s="26"/>
    </row>
    <row r="752" spans="1:34" ht="15.75" customHeight="1">
      <c r="A752" s="26"/>
      <c r="B752" s="26"/>
      <c r="C752" s="26"/>
      <c r="D752" s="26"/>
      <c r="E752" s="26"/>
      <c r="F752" s="26"/>
      <c r="G752" s="26"/>
      <c r="H752" s="26"/>
      <c r="I752" s="26"/>
      <c r="J752" s="26"/>
      <c r="K752" s="56"/>
      <c r="L752" s="26"/>
      <c r="M752" s="26"/>
      <c r="N752" s="26"/>
      <c r="O752" s="26"/>
      <c r="P752" s="26"/>
      <c r="Q752" s="26"/>
      <c r="R752" s="26"/>
      <c r="S752" s="26"/>
      <c r="T752" s="26"/>
      <c r="U752" s="26"/>
      <c r="V752" s="26"/>
      <c r="W752" s="26"/>
      <c r="X752" s="26"/>
      <c r="Y752" s="26"/>
      <c r="Z752" s="26"/>
      <c r="AA752" s="26"/>
      <c r="AB752" s="26"/>
      <c r="AC752" s="26"/>
      <c r="AD752" s="26"/>
      <c r="AE752" s="26"/>
      <c r="AF752" s="26"/>
      <c r="AG752" s="26"/>
      <c r="AH752" s="26"/>
    </row>
    <row r="753" spans="1:34" ht="15.75" customHeight="1">
      <c r="A753" s="26"/>
      <c r="B753" s="26"/>
      <c r="C753" s="26"/>
      <c r="D753" s="26"/>
      <c r="E753" s="26"/>
      <c r="F753" s="26"/>
      <c r="G753" s="26"/>
      <c r="H753" s="26"/>
      <c r="I753" s="26"/>
      <c r="J753" s="26"/>
      <c r="K753" s="56"/>
      <c r="L753" s="26"/>
      <c r="M753" s="26"/>
      <c r="N753" s="26"/>
      <c r="O753" s="26"/>
      <c r="P753" s="26"/>
      <c r="Q753" s="26"/>
      <c r="R753" s="26"/>
      <c r="S753" s="26"/>
      <c r="T753" s="26"/>
      <c r="U753" s="26"/>
      <c r="V753" s="26"/>
      <c r="W753" s="26"/>
      <c r="X753" s="26"/>
      <c r="Y753" s="26"/>
      <c r="Z753" s="26"/>
      <c r="AA753" s="26"/>
      <c r="AB753" s="26"/>
      <c r="AC753" s="26"/>
      <c r="AD753" s="26"/>
      <c r="AE753" s="26"/>
      <c r="AF753" s="26"/>
      <c r="AG753" s="26"/>
      <c r="AH753" s="26"/>
    </row>
    <row r="754" spans="1:34" ht="15.75" customHeight="1">
      <c r="A754" s="26"/>
      <c r="B754" s="26"/>
      <c r="C754" s="26"/>
      <c r="D754" s="26"/>
      <c r="E754" s="26"/>
      <c r="F754" s="26"/>
      <c r="G754" s="26"/>
      <c r="H754" s="26"/>
      <c r="I754" s="26"/>
      <c r="J754" s="26"/>
      <c r="K754" s="56"/>
      <c r="L754" s="26"/>
      <c r="M754" s="26"/>
      <c r="N754" s="26"/>
      <c r="O754" s="26"/>
      <c r="P754" s="26"/>
      <c r="Q754" s="26"/>
      <c r="R754" s="26"/>
      <c r="S754" s="26"/>
      <c r="T754" s="26"/>
      <c r="U754" s="26"/>
      <c r="V754" s="26"/>
      <c r="W754" s="26"/>
      <c r="X754" s="26"/>
      <c r="Y754" s="26"/>
      <c r="Z754" s="26"/>
      <c r="AA754" s="26"/>
      <c r="AB754" s="26"/>
      <c r="AC754" s="26"/>
      <c r="AD754" s="26"/>
      <c r="AE754" s="26"/>
      <c r="AF754" s="26"/>
      <c r="AG754" s="26"/>
      <c r="AH754" s="26"/>
    </row>
    <row r="755" spans="1:34" ht="15.75" customHeight="1">
      <c r="A755" s="26"/>
      <c r="B755" s="26"/>
      <c r="C755" s="26"/>
      <c r="D755" s="26"/>
      <c r="E755" s="26"/>
      <c r="F755" s="26"/>
      <c r="G755" s="26"/>
      <c r="H755" s="26"/>
      <c r="I755" s="26"/>
      <c r="J755" s="26"/>
      <c r="K755" s="56"/>
      <c r="L755" s="26"/>
      <c r="M755" s="26"/>
      <c r="N755" s="26"/>
      <c r="O755" s="26"/>
      <c r="P755" s="26"/>
      <c r="Q755" s="26"/>
      <c r="R755" s="26"/>
      <c r="S755" s="26"/>
      <c r="T755" s="26"/>
      <c r="U755" s="26"/>
      <c r="V755" s="26"/>
      <c r="W755" s="26"/>
      <c r="X755" s="26"/>
      <c r="Y755" s="26"/>
      <c r="Z755" s="26"/>
      <c r="AA755" s="26"/>
      <c r="AB755" s="26"/>
      <c r="AC755" s="26"/>
      <c r="AD755" s="26"/>
      <c r="AE755" s="26"/>
      <c r="AF755" s="26"/>
      <c r="AG755" s="26"/>
      <c r="AH755" s="26"/>
    </row>
    <row r="756" spans="1:34" ht="15.75" customHeight="1">
      <c r="A756" s="26"/>
      <c r="B756" s="26"/>
      <c r="C756" s="26"/>
      <c r="D756" s="26"/>
      <c r="E756" s="26"/>
      <c r="F756" s="26"/>
      <c r="G756" s="26"/>
      <c r="H756" s="26"/>
      <c r="I756" s="26"/>
      <c r="J756" s="26"/>
      <c r="K756" s="56"/>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row>
    <row r="757" spans="1:34" ht="15.75" customHeight="1">
      <c r="A757" s="26"/>
      <c r="B757" s="26"/>
      <c r="C757" s="26"/>
      <c r="D757" s="26"/>
      <c r="E757" s="26"/>
      <c r="F757" s="26"/>
      <c r="G757" s="26"/>
      <c r="H757" s="26"/>
      <c r="I757" s="26"/>
      <c r="J757" s="26"/>
      <c r="K757" s="5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row>
    <row r="758" spans="1:34" ht="15.75" customHeight="1">
      <c r="A758" s="26"/>
      <c r="B758" s="26"/>
      <c r="C758" s="26"/>
      <c r="D758" s="26"/>
      <c r="E758" s="26"/>
      <c r="F758" s="26"/>
      <c r="G758" s="26"/>
      <c r="H758" s="26"/>
      <c r="I758" s="26"/>
      <c r="J758" s="26"/>
      <c r="K758" s="56"/>
      <c r="L758" s="26"/>
      <c r="M758" s="26"/>
      <c r="N758" s="26"/>
      <c r="O758" s="26"/>
      <c r="P758" s="26"/>
      <c r="Q758" s="26"/>
      <c r="R758" s="26"/>
      <c r="S758" s="26"/>
      <c r="T758" s="26"/>
      <c r="U758" s="26"/>
      <c r="V758" s="26"/>
      <c r="W758" s="26"/>
      <c r="X758" s="26"/>
      <c r="Y758" s="26"/>
      <c r="Z758" s="26"/>
      <c r="AA758" s="26"/>
      <c r="AB758" s="26"/>
      <c r="AC758" s="26"/>
      <c r="AD758" s="26"/>
      <c r="AE758" s="26"/>
      <c r="AF758" s="26"/>
      <c r="AG758" s="26"/>
      <c r="AH758" s="26"/>
    </row>
    <row r="759" spans="1:34" ht="15.75" customHeight="1">
      <c r="A759" s="26"/>
      <c r="B759" s="26"/>
      <c r="C759" s="26"/>
      <c r="D759" s="26"/>
      <c r="E759" s="26"/>
      <c r="F759" s="26"/>
      <c r="G759" s="26"/>
      <c r="H759" s="26"/>
      <c r="I759" s="26"/>
      <c r="J759" s="26"/>
      <c r="K759" s="56"/>
      <c r="L759" s="26"/>
      <c r="M759" s="26"/>
      <c r="N759" s="26"/>
      <c r="O759" s="26"/>
      <c r="P759" s="26"/>
      <c r="Q759" s="26"/>
      <c r="R759" s="26"/>
      <c r="S759" s="26"/>
      <c r="T759" s="26"/>
      <c r="U759" s="26"/>
      <c r="V759" s="26"/>
      <c r="W759" s="26"/>
      <c r="X759" s="26"/>
      <c r="Y759" s="26"/>
      <c r="Z759" s="26"/>
      <c r="AA759" s="26"/>
      <c r="AB759" s="26"/>
      <c r="AC759" s="26"/>
      <c r="AD759" s="26"/>
      <c r="AE759" s="26"/>
      <c r="AF759" s="26"/>
      <c r="AG759" s="26"/>
      <c r="AH759" s="26"/>
    </row>
    <row r="760" spans="1:34" ht="15.75" customHeight="1">
      <c r="A760" s="26"/>
      <c r="B760" s="26"/>
      <c r="C760" s="26"/>
      <c r="D760" s="26"/>
      <c r="E760" s="26"/>
      <c r="F760" s="26"/>
      <c r="G760" s="26"/>
      <c r="H760" s="26"/>
      <c r="I760" s="26"/>
      <c r="J760" s="26"/>
      <c r="K760" s="56"/>
      <c r="L760" s="26"/>
      <c r="M760" s="26"/>
      <c r="N760" s="26"/>
      <c r="O760" s="26"/>
      <c r="P760" s="26"/>
      <c r="Q760" s="26"/>
      <c r="R760" s="26"/>
      <c r="S760" s="26"/>
      <c r="T760" s="26"/>
      <c r="U760" s="26"/>
      <c r="V760" s="26"/>
      <c r="W760" s="26"/>
      <c r="X760" s="26"/>
      <c r="Y760" s="26"/>
      <c r="Z760" s="26"/>
      <c r="AA760" s="26"/>
      <c r="AB760" s="26"/>
      <c r="AC760" s="26"/>
      <c r="AD760" s="26"/>
      <c r="AE760" s="26"/>
      <c r="AF760" s="26"/>
      <c r="AG760" s="26"/>
      <c r="AH760" s="26"/>
    </row>
    <row r="761" spans="1:34" ht="15.75" customHeight="1">
      <c r="A761" s="26"/>
      <c r="B761" s="26"/>
      <c r="C761" s="26"/>
      <c r="D761" s="26"/>
      <c r="E761" s="26"/>
      <c r="F761" s="26"/>
      <c r="G761" s="26"/>
      <c r="H761" s="26"/>
      <c r="I761" s="26"/>
      <c r="J761" s="26"/>
      <c r="K761" s="56"/>
      <c r="L761" s="26"/>
      <c r="M761" s="26"/>
      <c r="N761" s="26"/>
      <c r="O761" s="26"/>
      <c r="P761" s="26"/>
      <c r="Q761" s="26"/>
      <c r="R761" s="26"/>
      <c r="S761" s="26"/>
      <c r="T761" s="26"/>
      <c r="U761" s="26"/>
      <c r="V761" s="26"/>
      <c r="W761" s="26"/>
      <c r="X761" s="26"/>
      <c r="Y761" s="26"/>
      <c r="Z761" s="26"/>
      <c r="AA761" s="26"/>
      <c r="AB761" s="26"/>
      <c r="AC761" s="26"/>
      <c r="AD761" s="26"/>
      <c r="AE761" s="26"/>
      <c r="AF761" s="26"/>
      <c r="AG761" s="26"/>
      <c r="AH761" s="26"/>
    </row>
    <row r="762" spans="1:34" ht="15.75" customHeight="1">
      <c r="A762" s="26"/>
      <c r="B762" s="26"/>
      <c r="C762" s="26"/>
      <c r="D762" s="26"/>
      <c r="E762" s="26"/>
      <c r="F762" s="26"/>
      <c r="G762" s="26"/>
      <c r="H762" s="26"/>
      <c r="I762" s="26"/>
      <c r="J762" s="26"/>
      <c r="K762" s="56"/>
      <c r="L762" s="26"/>
      <c r="M762" s="26"/>
      <c r="N762" s="26"/>
      <c r="O762" s="26"/>
      <c r="P762" s="26"/>
      <c r="Q762" s="26"/>
      <c r="R762" s="26"/>
      <c r="S762" s="26"/>
      <c r="T762" s="26"/>
      <c r="U762" s="26"/>
      <c r="V762" s="26"/>
      <c r="W762" s="26"/>
      <c r="X762" s="26"/>
      <c r="Y762" s="26"/>
      <c r="Z762" s="26"/>
      <c r="AA762" s="26"/>
      <c r="AB762" s="26"/>
      <c r="AC762" s="26"/>
      <c r="AD762" s="26"/>
      <c r="AE762" s="26"/>
      <c r="AF762" s="26"/>
      <c r="AG762" s="26"/>
      <c r="AH762" s="26"/>
    </row>
    <row r="763" spans="1:34" ht="15.75" customHeight="1">
      <c r="A763" s="26"/>
      <c r="B763" s="26"/>
      <c r="C763" s="26"/>
      <c r="D763" s="26"/>
      <c r="E763" s="26"/>
      <c r="F763" s="26"/>
      <c r="G763" s="26"/>
      <c r="H763" s="26"/>
      <c r="I763" s="26"/>
      <c r="J763" s="26"/>
      <c r="K763" s="5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row>
    <row r="764" spans="1:34" ht="15.75" customHeight="1">
      <c r="A764" s="26"/>
      <c r="B764" s="26"/>
      <c r="C764" s="26"/>
      <c r="D764" s="26"/>
      <c r="E764" s="26"/>
      <c r="F764" s="26"/>
      <c r="G764" s="26"/>
      <c r="H764" s="26"/>
      <c r="I764" s="26"/>
      <c r="J764" s="26"/>
      <c r="K764" s="5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row>
    <row r="765" spans="1:34" ht="15.75" customHeight="1">
      <c r="A765" s="26"/>
      <c r="B765" s="26"/>
      <c r="C765" s="26"/>
      <c r="D765" s="26"/>
      <c r="E765" s="26"/>
      <c r="F765" s="26"/>
      <c r="G765" s="26"/>
      <c r="H765" s="26"/>
      <c r="I765" s="26"/>
      <c r="J765" s="26"/>
      <c r="K765" s="56"/>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row>
    <row r="766" spans="1:34" ht="15.75" customHeight="1">
      <c r="A766" s="26"/>
      <c r="B766" s="26"/>
      <c r="C766" s="26"/>
      <c r="D766" s="26"/>
      <c r="E766" s="26"/>
      <c r="F766" s="26"/>
      <c r="G766" s="26"/>
      <c r="H766" s="26"/>
      <c r="I766" s="26"/>
      <c r="J766" s="26"/>
      <c r="K766" s="56"/>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row>
    <row r="767" spans="1:34" ht="15.75" customHeight="1">
      <c r="A767" s="26"/>
      <c r="B767" s="26"/>
      <c r="C767" s="26"/>
      <c r="D767" s="26"/>
      <c r="E767" s="26"/>
      <c r="F767" s="26"/>
      <c r="G767" s="26"/>
      <c r="H767" s="26"/>
      <c r="I767" s="26"/>
      <c r="J767" s="26"/>
      <c r="K767" s="56"/>
      <c r="L767" s="26"/>
      <c r="M767" s="26"/>
      <c r="N767" s="26"/>
      <c r="O767" s="26"/>
      <c r="P767" s="26"/>
      <c r="Q767" s="26"/>
      <c r="R767" s="26"/>
      <c r="S767" s="26"/>
      <c r="T767" s="26"/>
      <c r="U767" s="26"/>
      <c r="V767" s="26"/>
      <c r="W767" s="26"/>
      <c r="X767" s="26"/>
      <c r="Y767" s="26"/>
      <c r="Z767" s="26"/>
      <c r="AA767" s="26"/>
      <c r="AB767" s="26"/>
      <c r="AC767" s="26"/>
      <c r="AD767" s="26"/>
      <c r="AE767" s="26"/>
      <c r="AF767" s="26"/>
      <c r="AG767" s="26"/>
      <c r="AH767" s="26"/>
    </row>
    <row r="768" spans="1:34" ht="15.75" customHeight="1">
      <c r="A768" s="26"/>
      <c r="B768" s="26"/>
      <c r="C768" s="26"/>
      <c r="D768" s="26"/>
      <c r="E768" s="26"/>
      <c r="F768" s="26"/>
      <c r="G768" s="26"/>
      <c r="H768" s="26"/>
      <c r="I768" s="26"/>
      <c r="J768" s="26"/>
      <c r="K768" s="56"/>
      <c r="L768" s="26"/>
      <c r="M768" s="26"/>
      <c r="N768" s="26"/>
      <c r="O768" s="26"/>
      <c r="P768" s="26"/>
      <c r="Q768" s="26"/>
      <c r="R768" s="26"/>
      <c r="S768" s="26"/>
      <c r="T768" s="26"/>
      <c r="U768" s="26"/>
      <c r="V768" s="26"/>
      <c r="W768" s="26"/>
      <c r="X768" s="26"/>
      <c r="Y768" s="26"/>
      <c r="Z768" s="26"/>
      <c r="AA768" s="26"/>
      <c r="AB768" s="26"/>
      <c r="AC768" s="26"/>
      <c r="AD768" s="26"/>
      <c r="AE768" s="26"/>
      <c r="AF768" s="26"/>
      <c r="AG768" s="26"/>
      <c r="AH768" s="26"/>
    </row>
    <row r="769" spans="1:34" ht="15.75" customHeight="1">
      <c r="A769" s="26"/>
      <c r="B769" s="26"/>
      <c r="C769" s="26"/>
      <c r="D769" s="26"/>
      <c r="E769" s="26"/>
      <c r="F769" s="26"/>
      <c r="G769" s="26"/>
      <c r="H769" s="26"/>
      <c r="I769" s="26"/>
      <c r="J769" s="26"/>
      <c r="K769" s="56"/>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row>
    <row r="770" spans="1:34" ht="15.75" customHeight="1">
      <c r="A770" s="26"/>
      <c r="B770" s="26"/>
      <c r="C770" s="26"/>
      <c r="D770" s="26"/>
      <c r="E770" s="26"/>
      <c r="F770" s="26"/>
      <c r="G770" s="26"/>
      <c r="H770" s="26"/>
      <c r="I770" s="26"/>
      <c r="J770" s="26"/>
      <c r="K770" s="56"/>
      <c r="L770" s="26"/>
      <c r="M770" s="26"/>
      <c r="N770" s="26"/>
      <c r="O770" s="26"/>
      <c r="P770" s="26"/>
      <c r="Q770" s="26"/>
      <c r="R770" s="26"/>
      <c r="S770" s="26"/>
      <c r="T770" s="26"/>
      <c r="U770" s="26"/>
      <c r="V770" s="26"/>
      <c r="W770" s="26"/>
      <c r="X770" s="26"/>
      <c r="Y770" s="26"/>
      <c r="Z770" s="26"/>
      <c r="AA770" s="26"/>
      <c r="AB770" s="26"/>
      <c r="AC770" s="26"/>
      <c r="AD770" s="26"/>
      <c r="AE770" s="26"/>
      <c r="AF770" s="26"/>
      <c r="AG770" s="26"/>
      <c r="AH770" s="26"/>
    </row>
    <row r="771" spans="1:34" ht="15.75" customHeight="1">
      <c r="A771" s="26"/>
      <c r="B771" s="26"/>
      <c r="C771" s="26"/>
      <c r="D771" s="26"/>
      <c r="E771" s="26"/>
      <c r="F771" s="26"/>
      <c r="G771" s="26"/>
      <c r="H771" s="26"/>
      <c r="I771" s="26"/>
      <c r="J771" s="26"/>
      <c r="K771" s="56"/>
      <c r="L771" s="26"/>
      <c r="M771" s="26"/>
      <c r="N771" s="26"/>
      <c r="O771" s="26"/>
      <c r="P771" s="26"/>
      <c r="Q771" s="26"/>
      <c r="R771" s="26"/>
      <c r="S771" s="26"/>
      <c r="T771" s="26"/>
      <c r="U771" s="26"/>
      <c r="V771" s="26"/>
      <c r="W771" s="26"/>
      <c r="X771" s="26"/>
      <c r="Y771" s="26"/>
      <c r="Z771" s="26"/>
      <c r="AA771" s="26"/>
      <c r="AB771" s="26"/>
      <c r="AC771" s="26"/>
      <c r="AD771" s="26"/>
      <c r="AE771" s="26"/>
      <c r="AF771" s="26"/>
      <c r="AG771" s="26"/>
      <c r="AH771" s="26"/>
    </row>
    <row r="772" spans="1:34" ht="15.75" customHeight="1">
      <c r="A772" s="26"/>
      <c r="B772" s="26"/>
      <c r="C772" s="26"/>
      <c r="D772" s="26"/>
      <c r="E772" s="26"/>
      <c r="F772" s="26"/>
      <c r="G772" s="26"/>
      <c r="H772" s="26"/>
      <c r="I772" s="26"/>
      <c r="J772" s="26"/>
      <c r="K772" s="56"/>
      <c r="L772" s="26"/>
      <c r="M772" s="26"/>
      <c r="N772" s="26"/>
      <c r="O772" s="26"/>
      <c r="P772" s="26"/>
      <c r="Q772" s="26"/>
      <c r="R772" s="26"/>
      <c r="S772" s="26"/>
      <c r="T772" s="26"/>
      <c r="U772" s="26"/>
      <c r="V772" s="26"/>
      <c r="W772" s="26"/>
      <c r="X772" s="26"/>
      <c r="Y772" s="26"/>
      <c r="Z772" s="26"/>
      <c r="AA772" s="26"/>
      <c r="AB772" s="26"/>
      <c r="AC772" s="26"/>
      <c r="AD772" s="26"/>
      <c r="AE772" s="26"/>
      <c r="AF772" s="26"/>
      <c r="AG772" s="26"/>
      <c r="AH772" s="26"/>
    </row>
    <row r="773" spans="1:34" ht="15.75" customHeight="1">
      <c r="A773" s="26"/>
      <c r="B773" s="26"/>
      <c r="C773" s="26"/>
      <c r="D773" s="26"/>
      <c r="E773" s="26"/>
      <c r="F773" s="26"/>
      <c r="G773" s="26"/>
      <c r="H773" s="26"/>
      <c r="I773" s="26"/>
      <c r="J773" s="26"/>
      <c r="K773" s="56"/>
      <c r="L773" s="26"/>
      <c r="M773" s="26"/>
      <c r="N773" s="26"/>
      <c r="O773" s="26"/>
      <c r="P773" s="26"/>
      <c r="Q773" s="26"/>
      <c r="R773" s="26"/>
      <c r="S773" s="26"/>
      <c r="T773" s="26"/>
      <c r="U773" s="26"/>
      <c r="V773" s="26"/>
      <c r="W773" s="26"/>
      <c r="X773" s="26"/>
      <c r="Y773" s="26"/>
      <c r="Z773" s="26"/>
      <c r="AA773" s="26"/>
      <c r="AB773" s="26"/>
      <c r="AC773" s="26"/>
      <c r="AD773" s="26"/>
      <c r="AE773" s="26"/>
      <c r="AF773" s="26"/>
      <c r="AG773" s="26"/>
      <c r="AH773" s="26"/>
    </row>
    <row r="774" spans="1:34" ht="15.75" customHeight="1">
      <c r="A774" s="26"/>
      <c r="B774" s="26"/>
      <c r="C774" s="26"/>
      <c r="D774" s="26"/>
      <c r="E774" s="26"/>
      <c r="F774" s="26"/>
      <c r="G774" s="26"/>
      <c r="H774" s="26"/>
      <c r="I774" s="26"/>
      <c r="J774" s="26"/>
      <c r="K774" s="56"/>
      <c r="L774" s="26"/>
      <c r="M774" s="26"/>
      <c r="N774" s="26"/>
      <c r="O774" s="26"/>
      <c r="P774" s="26"/>
      <c r="Q774" s="26"/>
      <c r="R774" s="26"/>
      <c r="S774" s="26"/>
      <c r="T774" s="26"/>
      <c r="U774" s="26"/>
      <c r="V774" s="26"/>
      <c r="W774" s="26"/>
      <c r="X774" s="26"/>
      <c r="Y774" s="26"/>
      <c r="Z774" s="26"/>
      <c r="AA774" s="26"/>
      <c r="AB774" s="26"/>
      <c r="AC774" s="26"/>
      <c r="AD774" s="26"/>
      <c r="AE774" s="26"/>
      <c r="AF774" s="26"/>
      <c r="AG774" s="26"/>
      <c r="AH774" s="26"/>
    </row>
    <row r="775" spans="1:34" ht="15.75" customHeight="1">
      <c r="A775" s="26"/>
      <c r="B775" s="26"/>
      <c r="C775" s="26"/>
      <c r="D775" s="26"/>
      <c r="E775" s="26"/>
      <c r="F775" s="26"/>
      <c r="G775" s="26"/>
      <c r="H775" s="26"/>
      <c r="I775" s="26"/>
      <c r="J775" s="26"/>
      <c r="K775" s="56"/>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row>
    <row r="776" spans="1:34" ht="15.75" customHeight="1">
      <c r="A776" s="26"/>
      <c r="B776" s="26"/>
      <c r="C776" s="26"/>
      <c r="D776" s="26"/>
      <c r="E776" s="26"/>
      <c r="F776" s="26"/>
      <c r="G776" s="26"/>
      <c r="H776" s="26"/>
      <c r="I776" s="26"/>
      <c r="J776" s="26"/>
      <c r="K776" s="56"/>
      <c r="L776" s="26"/>
      <c r="M776" s="26"/>
      <c r="N776" s="26"/>
      <c r="O776" s="26"/>
      <c r="P776" s="26"/>
      <c r="Q776" s="26"/>
      <c r="R776" s="26"/>
      <c r="S776" s="26"/>
      <c r="T776" s="26"/>
      <c r="U776" s="26"/>
      <c r="V776" s="26"/>
      <c r="W776" s="26"/>
      <c r="X776" s="26"/>
      <c r="Y776" s="26"/>
      <c r="Z776" s="26"/>
      <c r="AA776" s="26"/>
      <c r="AB776" s="26"/>
      <c r="AC776" s="26"/>
      <c r="AD776" s="26"/>
      <c r="AE776" s="26"/>
      <c r="AF776" s="26"/>
      <c r="AG776" s="26"/>
      <c r="AH776" s="26"/>
    </row>
    <row r="777" spans="1:34" ht="15.75" customHeight="1">
      <c r="A777" s="26"/>
      <c r="B777" s="26"/>
      <c r="C777" s="26"/>
      <c r="D777" s="26"/>
      <c r="E777" s="26"/>
      <c r="F777" s="26"/>
      <c r="G777" s="26"/>
      <c r="H777" s="26"/>
      <c r="I777" s="26"/>
      <c r="J777" s="26"/>
      <c r="K777" s="56"/>
      <c r="L777" s="26"/>
      <c r="M777" s="26"/>
      <c r="N777" s="26"/>
      <c r="O777" s="26"/>
      <c r="P777" s="26"/>
      <c r="Q777" s="26"/>
      <c r="R777" s="26"/>
      <c r="S777" s="26"/>
      <c r="T777" s="26"/>
      <c r="U777" s="26"/>
      <c r="V777" s="26"/>
      <c r="W777" s="26"/>
      <c r="X777" s="26"/>
      <c r="Y777" s="26"/>
      <c r="Z777" s="26"/>
      <c r="AA777" s="26"/>
      <c r="AB777" s="26"/>
      <c r="AC777" s="26"/>
      <c r="AD777" s="26"/>
      <c r="AE777" s="26"/>
      <c r="AF777" s="26"/>
      <c r="AG777" s="26"/>
      <c r="AH777" s="26"/>
    </row>
    <row r="778" spans="1:34" ht="15.75" customHeight="1">
      <c r="A778" s="26"/>
      <c r="B778" s="26"/>
      <c r="C778" s="26"/>
      <c r="D778" s="26"/>
      <c r="E778" s="26"/>
      <c r="F778" s="26"/>
      <c r="G778" s="26"/>
      <c r="H778" s="26"/>
      <c r="I778" s="26"/>
      <c r="J778" s="26"/>
      <c r="K778" s="56"/>
      <c r="L778" s="26"/>
      <c r="M778" s="26"/>
      <c r="N778" s="26"/>
      <c r="O778" s="26"/>
      <c r="P778" s="26"/>
      <c r="Q778" s="26"/>
      <c r="R778" s="26"/>
      <c r="S778" s="26"/>
      <c r="T778" s="26"/>
      <c r="U778" s="26"/>
      <c r="V778" s="26"/>
      <c r="W778" s="26"/>
      <c r="X778" s="26"/>
      <c r="Y778" s="26"/>
      <c r="Z778" s="26"/>
      <c r="AA778" s="26"/>
      <c r="AB778" s="26"/>
      <c r="AC778" s="26"/>
      <c r="AD778" s="26"/>
      <c r="AE778" s="26"/>
      <c r="AF778" s="26"/>
      <c r="AG778" s="26"/>
      <c r="AH778" s="26"/>
    </row>
    <row r="779" spans="1:34" ht="15.75" customHeight="1">
      <c r="A779" s="26"/>
      <c r="B779" s="26"/>
      <c r="C779" s="26"/>
      <c r="D779" s="26"/>
      <c r="E779" s="26"/>
      <c r="F779" s="26"/>
      <c r="G779" s="26"/>
      <c r="H779" s="26"/>
      <c r="I779" s="26"/>
      <c r="J779" s="26"/>
      <c r="K779" s="56"/>
      <c r="L779" s="26"/>
      <c r="M779" s="26"/>
      <c r="N779" s="26"/>
      <c r="O779" s="26"/>
      <c r="P779" s="26"/>
      <c r="Q779" s="26"/>
      <c r="R779" s="26"/>
      <c r="S779" s="26"/>
      <c r="T779" s="26"/>
      <c r="U779" s="26"/>
      <c r="V779" s="26"/>
      <c r="W779" s="26"/>
      <c r="X779" s="26"/>
      <c r="Y779" s="26"/>
      <c r="Z779" s="26"/>
      <c r="AA779" s="26"/>
      <c r="AB779" s="26"/>
      <c r="AC779" s="26"/>
      <c r="AD779" s="26"/>
      <c r="AE779" s="26"/>
      <c r="AF779" s="26"/>
      <c r="AG779" s="26"/>
      <c r="AH779" s="26"/>
    </row>
    <row r="780" spans="1:34" ht="15.75" customHeight="1">
      <c r="A780" s="26"/>
      <c r="B780" s="26"/>
      <c r="C780" s="26"/>
      <c r="D780" s="26"/>
      <c r="E780" s="26"/>
      <c r="F780" s="26"/>
      <c r="G780" s="26"/>
      <c r="H780" s="26"/>
      <c r="I780" s="26"/>
      <c r="J780" s="26"/>
      <c r="K780" s="56"/>
      <c r="L780" s="26"/>
      <c r="M780" s="26"/>
      <c r="N780" s="26"/>
      <c r="O780" s="26"/>
      <c r="P780" s="26"/>
      <c r="Q780" s="26"/>
      <c r="R780" s="26"/>
      <c r="S780" s="26"/>
      <c r="T780" s="26"/>
      <c r="U780" s="26"/>
      <c r="V780" s="26"/>
      <c r="W780" s="26"/>
      <c r="X780" s="26"/>
      <c r="Y780" s="26"/>
      <c r="Z780" s="26"/>
      <c r="AA780" s="26"/>
      <c r="AB780" s="26"/>
      <c r="AC780" s="26"/>
      <c r="AD780" s="26"/>
      <c r="AE780" s="26"/>
      <c r="AF780" s="26"/>
      <c r="AG780" s="26"/>
      <c r="AH780" s="26"/>
    </row>
    <row r="781" spans="1:34" ht="15.75" customHeight="1">
      <c r="A781" s="26"/>
      <c r="B781" s="26"/>
      <c r="C781" s="26"/>
      <c r="D781" s="26"/>
      <c r="E781" s="26"/>
      <c r="F781" s="26"/>
      <c r="G781" s="26"/>
      <c r="H781" s="26"/>
      <c r="I781" s="26"/>
      <c r="J781" s="26"/>
      <c r="K781" s="56"/>
      <c r="L781" s="26"/>
      <c r="M781" s="26"/>
      <c r="N781" s="26"/>
      <c r="O781" s="26"/>
      <c r="P781" s="26"/>
      <c r="Q781" s="26"/>
      <c r="R781" s="26"/>
      <c r="S781" s="26"/>
      <c r="T781" s="26"/>
      <c r="U781" s="26"/>
      <c r="V781" s="26"/>
      <c r="W781" s="26"/>
      <c r="X781" s="26"/>
      <c r="Y781" s="26"/>
      <c r="Z781" s="26"/>
      <c r="AA781" s="26"/>
      <c r="AB781" s="26"/>
      <c r="AC781" s="26"/>
      <c r="AD781" s="26"/>
      <c r="AE781" s="26"/>
      <c r="AF781" s="26"/>
      <c r="AG781" s="26"/>
      <c r="AH781" s="26"/>
    </row>
    <row r="782" spans="1:34" ht="15.75" customHeight="1">
      <c r="A782" s="26"/>
      <c r="B782" s="26"/>
      <c r="C782" s="26"/>
      <c r="D782" s="26"/>
      <c r="E782" s="26"/>
      <c r="F782" s="26"/>
      <c r="G782" s="26"/>
      <c r="H782" s="26"/>
      <c r="I782" s="26"/>
      <c r="J782" s="26"/>
      <c r="K782" s="56"/>
      <c r="L782" s="26"/>
      <c r="M782" s="26"/>
      <c r="N782" s="26"/>
      <c r="O782" s="26"/>
      <c r="P782" s="26"/>
      <c r="Q782" s="26"/>
      <c r="R782" s="26"/>
      <c r="S782" s="26"/>
      <c r="T782" s="26"/>
      <c r="U782" s="26"/>
      <c r="V782" s="26"/>
      <c r="W782" s="26"/>
      <c r="X782" s="26"/>
      <c r="Y782" s="26"/>
      <c r="Z782" s="26"/>
      <c r="AA782" s="26"/>
      <c r="AB782" s="26"/>
      <c r="AC782" s="26"/>
      <c r="AD782" s="26"/>
      <c r="AE782" s="26"/>
      <c r="AF782" s="26"/>
      <c r="AG782" s="26"/>
      <c r="AH782" s="26"/>
    </row>
    <row r="783" spans="1:34" ht="15.75" customHeight="1">
      <c r="A783" s="26"/>
      <c r="B783" s="26"/>
      <c r="C783" s="26"/>
      <c r="D783" s="26"/>
      <c r="E783" s="26"/>
      <c r="F783" s="26"/>
      <c r="G783" s="26"/>
      <c r="H783" s="26"/>
      <c r="I783" s="26"/>
      <c r="J783" s="26"/>
      <c r="K783" s="56"/>
      <c r="L783" s="26"/>
      <c r="M783" s="26"/>
      <c r="N783" s="26"/>
      <c r="O783" s="26"/>
      <c r="P783" s="26"/>
      <c r="Q783" s="26"/>
      <c r="R783" s="26"/>
      <c r="S783" s="26"/>
      <c r="T783" s="26"/>
      <c r="U783" s="26"/>
      <c r="V783" s="26"/>
      <c r="W783" s="26"/>
      <c r="X783" s="26"/>
      <c r="Y783" s="26"/>
      <c r="Z783" s="26"/>
      <c r="AA783" s="26"/>
      <c r="AB783" s="26"/>
      <c r="AC783" s="26"/>
      <c r="AD783" s="26"/>
      <c r="AE783" s="26"/>
      <c r="AF783" s="26"/>
      <c r="AG783" s="26"/>
      <c r="AH783" s="26"/>
    </row>
    <row r="784" spans="1:34" ht="15.75" customHeight="1">
      <c r="A784" s="26"/>
      <c r="B784" s="26"/>
      <c r="C784" s="26"/>
      <c r="D784" s="26"/>
      <c r="E784" s="26"/>
      <c r="F784" s="26"/>
      <c r="G784" s="26"/>
      <c r="H784" s="26"/>
      <c r="I784" s="26"/>
      <c r="J784" s="26"/>
      <c r="K784" s="56"/>
      <c r="L784" s="26"/>
      <c r="M784" s="26"/>
      <c r="N784" s="26"/>
      <c r="O784" s="26"/>
      <c r="P784" s="26"/>
      <c r="Q784" s="26"/>
      <c r="R784" s="26"/>
      <c r="S784" s="26"/>
      <c r="T784" s="26"/>
      <c r="U784" s="26"/>
      <c r="V784" s="26"/>
      <c r="W784" s="26"/>
      <c r="X784" s="26"/>
      <c r="Y784" s="26"/>
      <c r="Z784" s="26"/>
      <c r="AA784" s="26"/>
      <c r="AB784" s="26"/>
      <c r="AC784" s="26"/>
      <c r="AD784" s="26"/>
      <c r="AE784" s="26"/>
      <c r="AF784" s="26"/>
      <c r="AG784" s="26"/>
      <c r="AH784" s="26"/>
    </row>
    <row r="785" spans="1:34" ht="15.75" customHeight="1">
      <c r="A785" s="26"/>
      <c r="B785" s="26"/>
      <c r="C785" s="26"/>
      <c r="D785" s="26"/>
      <c r="E785" s="26"/>
      <c r="F785" s="26"/>
      <c r="G785" s="26"/>
      <c r="H785" s="26"/>
      <c r="I785" s="26"/>
      <c r="J785" s="26"/>
      <c r="K785" s="56"/>
      <c r="L785" s="26"/>
      <c r="M785" s="26"/>
      <c r="N785" s="26"/>
      <c r="O785" s="26"/>
      <c r="P785" s="26"/>
      <c r="Q785" s="26"/>
      <c r="R785" s="26"/>
      <c r="S785" s="26"/>
      <c r="T785" s="26"/>
      <c r="U785" s="26"/>
      <c r="V785" s="26"/>
      <c r="W785" s="26"/>
      <c r="X785" s="26"/>
      <c r="Y785" s="26"/>
      <c r="Z785" s="26"/>
      <c r="AA785" s="26"/>
      <c r="AB785" s="26"/>
      <c r="AC785" s="26"/>
      <c r="AD785" s="26"/>
      <c r="AE785" s="26"/>
      <c r="AF785" s="26"/>
      <c r="AG785" s="26"/>
      <c r="AH785" s="26"/>
    </row>
    <row r="786" spans="1:34" ht="15.75" customHeight="1">
      <c r="A786" s="26"/>
      <c r="B786" s="26"/>
      <c r="C786" s="26"/>
      <c r="D786" s="26"/>
      <c r="E786" s="26"/>
      <c r="F786" s="26"/>
      <c r="G786" s="26"/>
      <c r="H786" s="26"/>
      <c r="I786" s="26"/>
      <c r="J786" s="26"/>
      <c r="K786" s="56"/>
      <c r="L786" s="26"/>
      <c r="M786" s="26"/>
      <c r="N786" s="26"/>
      <c r="O786" s="26"/>
      <c r="P786" s="26"/>
      <c r="Q786" s="26"/>
      <c r="R786" s="26"/>
      <c r="S786" s="26"/>
      <c r="T786" s="26"/>
      <c r="U786" s="26"/>
      <c r="V786" s="26"/>
      <c r="W786" s="26"/>
      <c r="X786" s="26"/>
      <c r="Y786" s="26"/>
      <c r="Z786" s="26"/>
      <c r="AA786" s="26"/>
      <c r="AB786" s="26"/>
      <c r="AC786" s="26"/>
      <c r="AD786" s="26"/>
      <c r="AE786" s="26"/>
      <c r="AF786" s="26"/>
      <c r="AG786" s="26"/>
      <c r="AH786" s="26"/>
    </row>
    <row r="787" spans="1:34" ht="15.75" customHeight="1">
      <c r="A787" s="26"/>
      <c r="B787" s="26"/>
      <c r="C787" s="26"/>
      <c r="D787" s="26"/>
      <c r="E787" s="26"/>
      <c r="F787" s="26"/>
      <c r="G787" s="26"/>
      <c r="H787" s="26"/>
      <c r="I787" s="26"/>
      <c r="J787" s="26"/>
      <c r="K787" s="56"/>
      <c r="L787" s="26"/>
      <c r="M787" s="26"/>
      <c r="N787" s="26"/>
      <c r="O787" s="26"/>
      <c r="P787" s="26"/>
      <c r="Q787" s="26"/>
      <c r="R787" s="26"/>
      <c r="S787" s="26"/>
      <c r="T787" s="26"/>
      <c r="U787" s="26"/>
      <c r="V787" s="26"/>
      <c r="W787" s="26"/>
      <c r="X787" s="26"/>
      <c r="Y787" s="26"/>
      <c r="Z787" s="26"/>
      <c r="AA787" s="26"/>
      <c r="AB787" s="26"/>
      <c r="AC787" s="26"/>
      <c r="AD787" s="26"/>
      <c r="AE787" s="26"/>
      <c r="AF787" s="26"/>
      <c r="AG787" s="26"/>
      <c r="AH787" s="26"/>
    </row>
    <row r="788" spans="1:34" ht="15.75" customHeight="1">
      <c r="A788" s="26"/>
      <c r="B788" s="26"/>
      <c r="C788" s="26"/>
      <c r="D788" s="26"/>
      <c r="E788" s="26"/>
      <c r="F788" s="26"/>
      <c r="G788" s="26"/>
      <c r="H788" s="26"/>
      <c r="I788" s="26"/>
      <c r="J788" s="26"/>
      <c r="K788" s="56"/>
      <c r="L788" s="26"/>
      <c r="M788" s="26"/>
      <c r="N788" s="26"/>
      <c r="O788" s="26"/>
      <c r="P788" s="26"/>
      <c r="Q788" s="26"/>
      <c r="R788" s="26"/>
      <c r="S788" s="26"/>
      <c r="T788" s="26"/>
      <c r="U788" s="26"/>
      <c r="V788" s="26"/>
      <c r="W788" s="26"/>
      <c r="X788" s="26"/>
      <c r="Y788" s="26"/>
      <c r="Z788" s="26"/>
      <c r="AA788" s="26"/>
      <c r="AB788" s="26"/>
      <c r="AC788" s="26"/>
      <c r="AD788" s="26"/>
      <c r="AE788" s="26"/>
      <c r="AF788" s="26"/>
      <c r="AG788" s="26"/>
      <c r="AH788" s="26"/>
    </row>
    <row r="789" spans="1:34" ht="15.75" customHeight="1">
      <c r="A789" s="26"/>
      <c r="B789" s="26"/>
      <c r="C789" s="26"/>
      <c r="D789" s="26"/>
      <c r="E789" s="26"/>
      <c r="F789" s="26"/>
      <c r="G789" s="26"/>
      <c r="H789" s="26"/>
      <c r="I789" s="26"/>
      <c r="J789" s="26"/>
      <c r="K789" s="56"/>
      <c r="L789" s="26"/>
      <c r="M789" s="26"/>
      <c r="N789" s="26"/>
      <c r="O789" s="26"/>
      <c r="P789" s="26"/>
      <c r="Q789" s="26"/>
      <c r="R789" s="26"/>
      <c r="S789" s="26"/>
      <c r="T789" s="26"/>
      <c r="U789" s="26"/>
      <c r="V789" s="26"/>
      <c r="W789" s="26"/>
      <c r="X789" s="26"/>
      <c r="Y789" s="26"/>
      <c r="Z789" s="26"/>
      <c r="AA789" s="26"/>
      <c r="AB789" s="26"/>
      <c r="AC789" s="26"/>
      <c r="AD789" s="26"/>
      <c r="AE789" s="26"/>
      <c r="AF789" s="26"/>
      <c r="AG789" s="26"/>
      <c r="AH789" s="26"/>
    </row>
    <row r="790" spans="1:34" ht="15.75" customHeight="1">
      <c r="A790" s="26"/>
      <c r="B790" s="26"/>
      <c r="C790" s="26"/>
      <c r="D790" s="26"/>
      <c r="E790" s="26"/>
      <c r="F790" s="26"/>
      <c r="G790" s="26"/>
      <c r="H790" s="26"/>
      <c r="I790" s="26"/>
      <c r="J790" s="26"/>
      <c r="K790" s="56"/>
      <c r="L790" s="26"/>
      <c r="M790" s="26"/>
      <c r="N790" s="26"/>
      <c r="O790" s="26"/>
      <c r="P790" s="26"/>
      <c r="Q790" s="26"/>
      <c r="R790" s="26"/>
      <c r="S790" s="26"/>
      <c r="T790" s="26"/>
      <c r="U790" s="26"/>
      <c r="V790" s="26"/>
      <c r="W790" s="26"/>
      <c r="X790" s="26"/>
      <c r="Y790" s="26"/>
      <c r="Z790" s="26"/>
      <c r="AA790" s="26"/>
      <c r="AB790" s="26"/>
      <c r="AC790" s="26"/>
      <c r="AD790" s="26"/>
      <c r="AE790" s="26"/>
      <c r="AF790" s="26"/>
      <c r="AG790" s="26"/>
      <c r="AH790" s="26"/>
    </row>
    <row r="791" spans="1:34" ht="15.75" customHeight="1">
      <c r="A791" s="26"/>
      <c r="B791" s="26"/>
      <c r="C791" s="26"/>
      <c r="D791" s="26"/>
      <c r="E791" s="26"/>
      <c r="F791" s="26"/>
      <c r="G791" s="26"/>
      <c r="H791" s="26"/>
      <c r="I791" s="26"/>
      <c r="J791" s="26"/>
      <c r="K791" s="56"/>
      <c r="L791" s="26"/>
      <c r="M791" s="26"/>
      <c r="N791" s="26"/>
      <c r="O791" s="26"/>
      <c r="P791" s="26"/>
      <c r="Q791" s="26"/>
      <c r="R791" s="26"/>
      <c r="S791" s="26"/>
      <c r="T791" s="26"/>
      <c r="U791" s="26"/>
      <c r="V791" s="26"/>
      <c r="W791" s="26"/>
      <c r="X791" s="26"/>
      <c r="Y791" s="26"/>
      <c r="Z791" s="26"/>
      <c r="AA791" s="26"/>
      <c r="AB791" s="26"/>
      <c r="AC791" s="26"/>
      <c r="AD791" s="26"/>
      <c r="AE791" s="26"/>
      <c r="AF791" s="26"/>
      <c r="AG791" s="26"/>
      <c r="AH791" s="26"/>
    </row>
    <row r="792" spans="1:34" ht="15.75" customHeight="1">
      <c r="A792" s="26"/>
      <c r="B792" s="26"/>
      <c r="C792" s="26"/>
      <c r="D792" s="26"/>
      <c r="E792" s="26"/>
      <c r="F792" s="26"/>
      <c r="G792" s="26"/>
      <c r="H792" s="26"/>
      <c r="I792" s="26"/>
      <c r="J792" s="26"/>
      <c r="K792" s="56"/>
      <c r="L792" s="26"/>
      <c r="M792" s="26"/>
      <c r="N792" s="26"/>
      <c r="O792" s="26"/>
      <c r="P792" s="26"/>
      <c r="Q792" s="26"/>
      <c r="R792" s="26"/>
      <c r="S792" s="26"/>
      <c r="T792" s="26"/>
      <c r="U792" s="26"/>
      <c r="V792" s="26"/>
      <c r="W792" s="26"/>
      <c r="X792" s="26"/>
      <c r="Y792" s="26"/>
      <c r="Z792" s="26"/>
      <c r="AA792" s="26"/>
      <c r="AB792" s="26"/>
      <c r="AC792" s="26"/>
      <c r="AD792" s="26"/>
      <c r="AE792" s="26"/>
      <c r="AF792" s="26"/>
      <c r="AG792" s="26"/>
      <c r="AH792" s="26"/>
    </row>
    <row r="793" spans="1:34" ht="15.75" customHeight="1">
      <c r="A793" s="26"/>
      <c r="B793" s="26"/>
      <c r="C793" s="26"/>
      <c r="D793" s="26"/>
      <c r="E793" s="26"/>
      <c r="F793" s="26"/>
      <c r="G793" s="26"/>
      <c r="H793" s="26"/>
      <c r="I793" s="26"/>
      <c r="J793" s="26"/>
      <c r="K793" s="56"/>
      <c r="L793" s="26"/>
      <c r="M793" s="26"/>
      <c r="N793" s="26"/>
      <c r="O793" s="26"/>
      <c r="P793" s="26"/>
      <c r="Q793" s="26"/>
      <c r="R793" s="26"/>
      <c r="S793" s="26"/>
      <c r="T793" s="26"/>
      <c r="U793" s="26"/>
      <c r="V793" s="26"/>
      <c r="W793" s="26"/>
      <c r="X793" s="26"/>
      <c r="Y793" s="26"/>
      <c r="Z793" s="26"/>
      <c r="AA793" s="26"/>
      <c r="AB793" s="26"/>
      <c r="AC793" s="26"/>
      <c r="AD793" s="26"/>
      <c r="AE793" s="26"/>
      <c r="AF793" s="26"/>
      <c r="AG793" s="26"/>
      <c r="AH793" s="26"/>
    </row>
    <row r="794" spans="1:34" ht="15.75" customHeight="1">
      <c r="A794" s="26"/>
      <c r="B794" s="26"/>
      <c r="C794" s="26"/>
      <c r="D794" s="26"/>
      <c r="E794" s="26"/>
      <c r="F794" s="26"/>
      <c r="G794" s="26"/>
      <c r="H794" s="26"/>
      <c r="I794" s="26"/>
      <c r="J794" s="26"/>
      <c r="K794" s="56"/>
      <c r="L794" s="26"/>
      <c r="M794" s="26"/>
      <c r="N794" s="26"/>
      <c r="O794" s="26"/>
      <c r="P794" s="26"/>
      <c r="Q794" s="26"/>
      <c r="R794" s="26"/>
      <c r="S794" s="26"/>
      <c r="T794" s="26"/>
      <c r="U794" s="26"/>
      <c r="V794" s="26"/>
      <c r="W794" s="26"/>
      <c r="X794" s="26"/>
      <c r="Y794" s="26"/>
      <c r="Z794" s="26"/>
      <c r="AA794" s="26"/>
      <c r="AB794" s="26"/>
      <c r="AC794" s="26"/>
      <c r="AD794" s="26"/>
      <c r="AE794" s="26"/>
      <c r="AF794" s="26"/>
      <c r="AG794" s="26"/>
      <c r="AH794" s="26"/>
    </row>
    <row r="795" spans="1:34" ht="15.75" customHeight="1">
      <c r="A795" s="26"/>
      <c r="B795" s="26"/>
      <c r="C795" s="26"/>
      <c r="D795" s="26"/>
      <c r="E795" s="26"/>
      <c r="F795" s="26"/>
      <c r="G795" s="26"/>
      <c r="H795" s="26"/>
      <c r="I795" s="26"/>
      <c r="J795" s="26"/>
      <c r="K795" s="56"/>
      <c r="L795" s="26"/>
      <c r="M795" s="26"/>
      <c r="N795" s="26"/>
      <c r="O795" s="26"/>
      <c r="P795" s="26"/>
      <c r="Q795" s="26"/>
      <c r="R795" s="26"/>
      <c r="S795" s="26"/>
      <c r="T795" s="26"/>
      <c r="U795" s="26"/>
      <c r="V795" s="26"/>
      <c r="W795" s="26"/>
      <c r="X795" s="26"/>
      <c r="Y795" s="26"/>
      <c r="Z795" s="26"/>
      <c r="AA795" s="26"/>
      <c r="AB795" s="26"/>
      <c r="AC795" s="26"/>
      <c r="AD795" s="26"/>
      <c r="AE795" s="26"/>
      <c r="AF795" s="26"/>
      <c r="AG795" s="26"/>
      <c r="AH795" s="26"/>
    </row>
    <row r="796" spans="1:34" ht="15.75" customHeight="1">
      <c r="A796" s="26"/>
      <c r="B796" s="26"/>
      <c r="C796" s="26"/>
      <c r="D796" s="26"/>
      <c r="E796" s="26"/>
      <c r="F796" s="26"/>
      <c r="G796" s="26"/>
      <c r="H796" s="26"/>
      <c r="I796" s="26"/>
      <c r="J796" s="26"/>
      <c r="K796" s="56"/>
      <c r="L796" s="26"/>
      <c r="M796" s="26"/>
      <c r="N796" s="26"/>
      <c r="O796" s="26"/>
      <c r="P796" s="26"/>
      <c r="Q796" s="26"/>
      <c r="R796" s="26"/>
      <c r="S796" s="26"/>
      <c r="T796" s="26"/>
      <c r="U796" s="26"/>
      <c r="V796" s="26"/>
      <c r="W796" s="26"/>
      <c r="X796" s="26"/>
      <c r="Y796" s="26"/>
      <c r="Z796" s="26"/>
      <c r="AA796" s="26"/>
      <c r="AB796" s="26"/>
      <c r="AC796" s="26"/>
      <c r="AD796" s="26"/>
      <c r="AE796" s="26"/>
      <c r="AF796" s="26"/>
      <c r="AG796" s="26"/>
      <c r="AH796" s="26"/>
    </row>
    <row r="797" spans="1:34" ht="15.75" customHeight="1">
      <c r="A797" s="26"/>
      <c r="B797" s="26"/>
      <c r="C797" s="26"/>
      <c r="D797" s="26"/>
      <c r="E797" s="26"/>
      <c r="F797" s="26"/>
      <c r="G797" s="26"/>
      <c r="H797" s="26"/>
      <c r="I797" s="26"/>
      <c r="J797" s="26"/>
      <c r="K797" s="56"/>
      <c r="L797" s="26"/>
      <c r="M797" s="26"/>
      <c r="N797" s="26"/>
      <c r="O797" s="26"/>
      <c r="P797" s="26"/>
      <c r="Q797" s="26"/>
      <c r="R797" s="26"/>
      <c r="S797" s="26"/>
      <c r="T797" s="26"/>
      <c r="U797" s="26"/>
      <c r="V797" s="26"/>
      <c r="W797" s="26"/>
      <c r="X797" s="26"/>
      <c r="Y797" s="26"/>
      <c r="Z797" s="26"/>
      <c r="AA797" s="26"/>
      <c r="AB797" s="26"/>
      <c r="AC797" s="26"/>
      <c r="AD797" s="26"/>
      <c r="AE797" s="26"/>
      <c r="AF797" s="26"/>
      <c r="AG797" s="26"/>
      <c r="AH797" s="26"/>
    </row>
    <row r="798" spans="1:34" ht="15.75" customHeight="1">
      <c r="A798" s="26"/>
      <c r="B798" s="26"/>
      <c r="C798" s="26"/>
      <c r="D798" s="26"/>
      <c r="E798" s="26"/>
      <c r="F798" s="26"/>
      <c r="G798" s="26"/>
      <c r="H798" s="26"/>
      <c r="I798" s="26"/>
      <c r="J798" s="26"/>
      <c r="K798" s="56"/>
      <c r="L798" s="26"/>
      <c r="M798" s="26"/>
      <c r="N798" s="26"/>
      <c r="O798" s="26"/>
      <c r="P798" s="26"/>
      <c r="Q798" s="26"/>
      <c r="R798" s="26"/>
      <c r="S798" s="26"/>
      <c r="T798" s="26"/>
      <c r="U798" s="26"/>
      <c r="V798" s="26"/>
      <c r="W798" s="26"/>
      <c r="X798" s="26"/>
      <c r="Y798" s="26"/>
      <c r="Z798" s="26"/>
      <c r="AA798" s="26"/>
      <c r="AB798" s="26"/>
      <c r="AC798" s="26"/>
      <c r="AD798" s="26"/>
      <c r="AE798" s="26"/>
      <c r="AF798" s="26"/>
      <c r="AG798" s="26"/>
      <c r="AH798" s="26"/>
    </row>
    <row r="799" spans="1:34" ht="15.75" customHeight="1">
      <c r="A799" s="26"/>
      <c r="B799" s="26"/>
      <c r="C799" s="26"/>
      <c r="D799" s="26"/>
      <c r="E799" s="26"/>
      <c r="F799" s="26"/>
      <c r="G799" s="26"/>
      <c r="H799" s="26"/>
      <c r="I799" s="26"/>
      <c r="J799" s="26"/>
      <c r="K799" s="56"/>
      <c r="L799" s="26"/>
      <c r="M799" s="26"/>
      <c r="N799" s="26"/>
      <c r="O799" s="26"/>
      <c r="P799" s="26"/>
      <c r="Q799" s="26"/>
      <c r="R799" s="26"/>
      <c r="S799" s="26"/>
      <c r="T799" s="26"/>
      <c r="U799" s="26"/>
      <c r="V799" s="26"/>
      <c r="W799" s="26"/>
      <c r="X799" s="26"/>
      <c r="Y799" s="26"/>
      <c r="Z799" s="26"/>
      <c r="AA799" s="26"/>
      <c r="AB799" s="26"/>
      <c r="AC799" s="26"/>
      <c r="AD799" s="26"/>
      <c r="AE799" s="26"/>
      <c r="AF799" s="26"/>
      <c r="AG799" s="26"/>
      <c r="AH799" s="26"/>
    </row>
    <row r="800" spans="1:34" ht="15.75" customHeight="1">
      <c r="A800" s="26"/>
      <c r="B800" s="26"/>
      <c r="C800" s="26"/>
      <c r="D800" s="26"/>
      <c r="E800" s="26"/>
      <c r="F800" s="26"/>
      <c r="G800" s="26"/>
      <c r="H800" s="26"/>
      <c r="I800" s="26"/>
      <c r="J800" s="26"/>
      <c r="K800" s="56"/>
      <c r="L800" s="26"/>
      <c r="M800" s="26"/>
      <c r="N800" s="26"/>
      <c r="O800" s="26"/>
      <c r="P800" s="26"/>
      <c r="Q800" s="26"/>
      <c r="R800" s="26"/>
      <c r="S800" s="26"/>
      <c r="T800" s="26"/>
      <c r="U800" s="26"/>
      <c r="V800" s="26"/>
      <c r="W800" s="26"/>
      <c r="X800" s="26"/>
      <c r="Y800" s="26"/>
      <c r="Z800" s="26"/>
      <c r="AA800" s="26"/>
      <c r="AB800" s="26"/>
      <c r="AC800" s="26"/>
      <c r="AD800" s="26"/>
      <c r="AE800" s="26"/>
      <c r="AF800" s="26"/>
      <c r="AG800" s="26"/>
      <c r="AH800" s="26"/>
    </row>
    <row r="801" spans="1:34" ht="15.75" customHeight="1">
      <c r="A801" s="26"/>
      <c r="B801" s="26"/>
      <c r="C801" s="26"/>
      <c r="D801" s="26"/>
      <c r="E801" s="26"/>
      <c r="F801" s="26"/>
      <c r="G801" s="26"/>
      <c r="H801" s="26"/>
      <c r="I801" s="26"/>
      <c r="J801" s="26"/>
      <c r="K801" s="56"/>
      <c r="L801" s="26"/>
      <c r="M801" s="26"/>
      <c r="N801" s="26"/>
      <c r="O801" s="26"/>
      <c r="P801" s="26"/>
      <c r="Q801" s="26"/>
      <c r="R801" s="26"/>
      <c r="S801" s="26"/>
      <c r="T801" s="26"/>
      <c r="U801" s="26"/>
      <c r="V801" s="26"/>
      <c r="W801" s="26"/>
      <c r="X801" s="26"/>
      <c r="Y801" s="26"/>
      <c r="Z801" s="26"/>
      <c r="AA801" s="26"/>
      <c r="AB801" s="26"/>
      <c r="AC801" s="26"/>
      <c r="AD801" s="26"/>
      <c r="AE801" s="26"/>
      <c r="AF801" s="26"/>
      <c r="AG801" s="26"/>
      <c r="AH801" s="26"/>
    </row>
    <row r="802" spans="1:34" ht="15.75" customHeight="1">
      <c r="A802" s="26"/>
      <c r="B802" s="26"/>
      <c r="C802" s="26"/>
      <c r="D802" s="26"/>
      <c r="E802" s="26"/>
      <c r="F802" s="26"/>
      <c r="G802" s="26"/>
      <c r="H802" s="26"/>
      <c r="I802" s="26"/>
      <c r="J802" s="26"/>
      <c r="K802" s="56"/>
      <c r="L802" s="26"/>
      <c r="M802" s="26"/>
      <c r="N802" s="26"/>
      <c r="O802" s="26"/>
      <c r="P802" s="26"/>
      <c r="Q802" s="26"/>
      <c r="R802" s="26"/>
      <c r="S802" s="26"/>
      <c r="T802" s="26"/>
      <c r="U802" s="26"/>
      <c r="V802" s="26"/>
      <c r="W802" s="26"/>
      <c r="X802" s="26"/>
      <c r="Y802" s="26"/>
      <c r="Z802" s="26"/>
      <c r="AA802" s="26"/>
      <c r="AB802" s="26"/>
      <c r="AC802" s="26"/>
      <c r="AD802" s="26"/>
      <c r="AE802" s="26"/>
      <c r="AF802" s="26"/>
      <c r="AG802" s="26"/>
      <c r="AH802" s="26"/>
    </row>
    <row r="803" spans="1:34" ht="15.75" customHeight="1">
      <c r="A803" s="26"/>
      <c r="B803" s="26"/>
      <c r="C803" s="26"/>
      <c r="D803" s="26"/>
      <c r="E803" s="26"/>
      <c r="F803" s="26"/>
      <c r="G803" s="26"/>
      <c r="H803" s="26"/>
      <c r="I803" s="26"/>
      <c r="J803" s="26"/>
      <c r="K803" s="56"/>
      <c r="L803" s="26"/>
      <c r="M803" s="26"/>
      <c r="N803" s="26"/>
      <c r="O803" s="26"/>
      <c r="P803" s="26"/>
      <c r="Q803" s="26"/>
      <c r="R803" s="26"/>
      <c r="S803" s="26"/>
      <c r="T803" s="26"/>
      <c r="U803" s="26"/>
      <c r="V803" s="26"/>
      <c r="W803" s="26"/>
      <c r="X803" s="26"/>
      <c r="Y803" s="26"/>
      <c r="Z803" s="26"/>
      <c r="AA803" s="26"/>
      <c r="AB803" s="26"/>
      <c r="AC803" s="26"/>
      <c r="AD803" s="26"/>
      <c r="AE803" s="26"/>
      <c r="AF803" s="26"/>
      <c r="AG803" s="26"/>
      <c r="AH803" s="26"/>
    </row>
    <row r="804" spans="1:34" ht="15.75" customHeight="1">
      <c r="A804" s="26"/>
      <c r="B804" s="26"/>
      <c r="C804" s="26"/>
      <c r="D804" s="26"/>
      <c r="E804" s="26"/>
      <c r="F804" s="26"/>
      <c r="G804" s="26"/>
      <c r="H804" s="26"/>
      <c r="I804" s="26"/>
      <c r="J804" s="26"/>
      <c r="K804" s="56"/>
      <c r="L804" s="26"/>
      <c r="M804" s="26"/>
      <c r="N804" s="26"/>
      <c r="O804" s="26"/>
      <c r="P804" s="26"/>
      <c r="Q804" s="26"/>
      <c r="R804" s="26"/>
      <c r="S804" s="26"/>
      <c r="T804" s="26"/>
      <c r="U804" s="26"/>
      <c r="V804" s="26"/>
      <c r="W804" s="26"/>
      <c r="X804" s="26"/>
      <c r="Y804" s="26"/>
      <c r="Z804" s="26"/>
      <c r="AA804" s="26"/>
      <c r="AB804" s="26"/>
      <c r="AC804" s="26"/>
      <c r="AD804" s="26"/>
      <c r="AE804" s="26"/>
      <c r="AF804" s="26"/>
      <c r="AG804" s="26"/>
      <c r="AH804" s="26"/>
    </row>
    <row r="805" spans="1:34" ht="15.75" customHeight="1">
      <c r="A805" s="26"/>
      <c r="B805" s="26"/>
      <c r="C805" s="26"/>
      <c r="D805" s="26"/>
      <c r="E805" s="26"/>
      <c r="F805" s="26"/>
      <c r="G805" s="26"/>
      <c r="H805" s="26"/>
      <c r="I805" s="26"/>
      <c r="J805" s="26"/>
      <c r="K805" s="56"/>
      <c r="L805" s="26"/>
      <c r="M805" s="26"/>
      <c r="N805" s="26"/>
      <c r="O805" s="26"/>
      <c r="P805" s="26"/>
      <c r="Q805" s="26"/>
      <c r="R805" s="26"/>
      <c r="S805" s="26"/>
      <c r="T805" s="26"/>
      <c r="U805" s="26"/>
      <c r="V805" s="26"/>
      <c r="W805" s="26"/>
      <c r="X805" s="26"/>
      <c r="Y805" s="26"/>
      <c r="Z805" s="26"/>
      <c r="AA805" s="26"/>
      <c r="AB805" s="26"/>
      <c r="AC805" s="26"/>
      <c r="AD805" s="26"/>
      <c r="AE805" s="26"/>
      <c r="AF805" s="26"/>
      <c r="AG805" s="26"/>
      <c r="AH805" s="26"/>
    </row>
    <row r="806" spans="1:34" ht="15.75" customHeight="1">
      <c r="A806" s="26"/>
      <c r="B806" s="26"/>
      <c r="C806" s="26"/>
      <c r="D806" s="26"/>
      <c r="E806" s="26"/>
      <c r="F806" s="26"/>
      <c r="G806" s="26"/>
      <c r="H806" s="26"/>
      <c r="I806" s="26"/>
      <c r="J806" s="26"/>
      <c r="K806" s="56"/>
      <c r="L806" s="26"/>
      <c r="M806" s="26"/>
      <c r="N806" s="26"/>
      <c r="O806" s="26"/>
      <c r="P806" s="26"/>
      <c r="Q806" s="26"/>
      <c r="R806" s="26"/>
      <c r="S806" s="26"/>
      <c r="T806" s="26"/>
      <c r="U806" s="26"/>
      <c r="V806" s="26"/>
      <c r="W806" s="26"/>
      <c r="X806" s="26"/>
      <c r="Y806" s="26"/>
      <c r="Z806" s="26"/>
      <c r="AA806" s="26"/>
      <c r="AB806" s="26"/>
      <c r="AC806" s="26"/>
      <c r="AD806" s="26"/>
      <c r="AE806" s="26"/>
      <c r="AF806" s="26"/>
      <c r="AG806" s="26"/>
      <c r="AH806" s="26"/>
    </row>
    <row r="807" spans="1:34" ht="15.75" customHeight="1">
      <c r="A807" s="26"/>
      <c r="B807" s="26"/>
      <c r="C807" s="26"/>
      <c r="D807" s="26"/>
      <c r="E807" s="26"/>
      <c r="F807" s="26"/>
      <c r="G807" s="26"/>
      <c r="H807" s="26"/>
      <c r="I807" s="26"/>
      <c r="J807" s="26"/>
      <c r="K807" s="56"/>
      <c r="L807" s="26"/>
      <c r="M807" s="26"/>
      <c r="N807" s="26"/>
      <c r="O807" s="26"/>
      <c r="P807" s="26"/>
      <c r="Q807" s="26"/>
      <c r="R807" s="26"/>
      <c r="S807" s="26"/>
      <c r="T807" s="26"/>
      <c r="U807" s="26"/>
      <c r="V807" s="26"/>
      <c r="W807" s="26"/>
      <c r="X807" s="26"/>
      <c r="Y807" s="26"/>
      <c r="Z807" s="26"/>
      <c r="AA807" s="26"/>
      <c r="AB807" s="26"/>
      <c r="AC807" s="26"/>
      <c r="AD807" s="26"/>
      <c r="AE807" s="26"/>
      <c r="AF807" s="26"/>
      <c r="AG807" s="26"/>
      <c r="AH807" s="26"/>
    </row>
    <row r="808" spans="1:34" ht="15.75" customHeight="1">
      <c r="A808" s="26"/>
      <c r="B808" s="26"/>
      <c r="C808" s="26"/>
      <c r="D808" s="26"/>
      <c r="E808" s="26"/>
      <c r="F808" s="26"/>
      <c r="G808" s="26"/>
      <c r="H808" s="26"/>
      <c r="I808" s="26"/>
      <c r="J808" s="26"/>
      <c r="K808" s="56"/>
      <c r="L808" s="26"/>
      <c r="M808" s="26"/>
      <c r="N808" s="26"/>
      <c r="O808" s="26"/>
      <c r="P808" s="26"/>
      <c r="Q808" s="26"/>
      <c r="R808" s="26"/>
      <c r="S808" s="26"/>
      <c r="T808" s="26"/>
      <c r="U808" s="26"/>
      <c r="V808" s="26"/>
      <c r="W808" s="26"/>
      <c r="X808" s="26"/>
      <c r="Y808" s="26"/>
      <c r="Z808" s="26"/>
      <c r="AA808" s="26"/>
      <c r="AB808" s="26"/>
      <c r="AC808" s="26"/>
      <c r="AD808" s="26"/>
      <c r="AE808" s="26"/>
      <c r="AF808" s="26"/>
      <c r="AG808" s="26"/>
      <c r="AH808" s="26"/>
    </row>
    <row r="809" spans="1:34" ht="15.75" customHeight="1">
      <c r="A809" s="26"/>
      <c r="B809" s="26"/>
      <c r="C809" s="26"/>
      <c r="D809" s="26"/>
      <c r="E809" s="26"/>
      <c r="F809" s="26"/>
      <c r="G809" s="26"/>
      <c r="H809" s="26"/>
      <c r="I809" s="26"/>
      <c r="J809" s="26"/>
      <c r="K809" s="56"/>
      <c r="L809" s="26"/>
      <c r="M809" s="26"/>
      <c r="N809" s="26"/>
      <c r="O809" s="26"/>
      <c r="P809" s="26"/>
      <c r="Q809" s="26"/>
      <c r="R809" s="26"/>
      <c r="S809" s="26"/>
      <c r="T809" s="26"/>
      <c r="U809" s="26"/>
      <c r="V809" s="26"/>
      <c r="W809" s="26"/>
      <c r="X809" s="26"/>
      <c r="Y809" s="26"/>
      <c r="Z809" s="26"/>
      <c r="AA809" s="26"/>
      <c r="AB809" s="26"/>
      <c r="AC809" s="26"/>
      <c r="AD809" s="26"/>
      <c r="AE809" s="26"/>
      <c r="AF809" s="26"/>
      <c r="AG809" s="26"/>
      <c r="AH809" s="26"/>
    </row>
    <row r="810" spans="1:34" ht="15.75" customHeight="1">
      <c r="A810" s="26"/>
      <c r="B810" s="26"/>
      <c r="C810" s="26"/>
      <c r="D810" s="26"/>
      <c r="E810" s="26"/>
      <c r="F810" s="26"/>
      <c r="G810" s="26"/>
      <c r="H810" s="26"/>
      <c r="I810" s="26"/>
      <c r="J810" s="26"/>
      <c r="K810" s="56"/>
      <c r="L810" s="26"/>
      <c r="M810" s="26"/>
      <c r="N810" s="26"/>
      <c r="O810" s="26"/>
      <c r="P810" s="26"/>
      <c r="Q810" s="26"/>
      <c r="R810" s="26"/>
      <c r="S810" s="26"/>
      <c r="T810" s="26"/>
      <c r="U810" s="26"/>
      <c r="V810" s="26"/>
      <c r="W810" s="26"/>
      <c r="X810" s="26"/>
      <c r="Y810" s="26"/>
      <c r="Z810" s="26"/>
      <c r="AA810" s="26"/>
      <c r="AB810" s="26"/>
      <c r="AC810" s="26"/>
      <c r="AD810" s="26"/>
      <c r="AE810" s="26"/>
      <c r="AF810" s="26"/>
      <c r="AG810" s="26"/>
      <c r="AH810" s="26"/>
    </row>
    <row r="811" spans="1:34" ht="15.75" customHeight="1">
      <c r="A811" s="26"/>
      <c r="B811" s="26"/>
      <c r="C811" s="26"/>
      <c r="D811" s="26"/>
      <c r="E811" s="26"/>
      <c r="F811" s="26"/>
      <c r="G811" s="26"/>
      <c r="H811" s="26"/>
      <c r="I811" s="26"/>
      <c r="J811" s="26"/>
      <c r="K811" s="56"/>
      <c r="L811" s="26"/>
      <c r="M811" s="26"/>
      <c r="N811" s="26"/>
      <c r="O811" s="26"/>
      <c r="P811" s="26"/>
      <c r="Q811" s="26"/>
      <c r="R811" s="26"/>
      <c r="S811" s="26"/>
      <c r="T811" s="26"/>
      <c r="U811" s="26"/>
      <c r="V811" s="26"/>
      <c r="W811" s="26"/>
      <c r="X811" s="26"/>
      <c r="Y811" s="26"/>
      <c r="Z811" s="26"/>
      <c r="AA811" s="26"/>
      <c r="AB811" s="26"/>
      <c r="AC811" s="26"/>
      <c r="AD811" s="26"/>
      <c r="AE811" s="26"/>
      <c r="AF811" s="26"/>
      <c r="AG811" s="26"/>
      <c r="AH811" s="26"/>
    </row>
    <row r="812" spans="1:34" ht="15.75" customHeight="1">
      <c r="A812" s="26"/>
      <c r="B812" s="26"/>
      <c r="C812" s="26"/>
      <c r="D812" s="26"/>
      <c r="E812" s="26"/>
      <c r="F812" s="26"/>
      <c r="G812" s="26"/>
      <c r="H812" s="26"/>
      <c r="I812" s="26"/>
      <c r="J812" s="26"/>
      <c r="K812" s="56"/>
      <c r="L812" s="26"/>
      <c r="M812" s="26"/>
      <c r="N812" s="26"/>
      <c r="O812" s="26"/>
      <c r="P812" s="26"/>
      <c r="Q812" s="26"/>
      <c r="R812" s="26"/>
      <c r="S812" s="26"/>
      <c r="T812" s="26"/>
      <c r="U812" s="26"/>
      <c r="V812" s="26"/>
      <c r="W812" s="26"/>
      <c r="X812" s="26"/>
      <c r="Y812" s="26"/>
      <c r="Z812" s="26"/>
      <c r="AA812" s="26"/>
      <c r="AB812" s="26"/>
      <c r="AC812" s="26"/>
      <c r="AD812" s="26"/>
      <c r="AE812" s="26"/>
      <c r="AF812" s="26"/>
      <c r="AG812" s="26"/>
      <c r="AH812" s="26"/>
    </row>
    <row r="813" spans="1:34" ht="15.75" customHeight="1">
      <c r="A813" s="26"/>
      <c r="B813" s="26"/>
      <c r="C813" s="26"/>
      <c r="D813" s="26"/>
      <c r="E813" s="26"/>
      <c r="F813" s="26"/>
      <c r="G813" s="26"/>
      <c r="H813" s="26"/>
      <c r="I813" s="26"/>
      <c r="J813" s="26"/>
      <c r="K813" s="56"/>
      <c r="L813" s="26"/>
      <c r="M813" s="26"/>
      <c r="N813" s="26"/>
      <c r="O813" s="26"/>
      <c r="P813" s="26"/>
      <c r="Q813" s="26"/>
      <c r="R813" s="26"/>
      <c r="S813" s="26"/>
      <c r="T813" s="26"/>
      <c r="U813" s="26"/>
      <c r="V813" s="26"/>
      <c r="W813" s="26"/>
      <c r="X813" s="26"/>
      <c r="Y813" s="26"/>
      <c r="Z813" s="26"/>
      <c r="AA813" s="26"/>
      <c r="AB813" s="26"/>
      <c r="AC813" s="26"/>
      <c r="AD813" s="26"/>
      <c r="AE813" s="26"/>
      <c r="AF813" s="26"/>
      <c r="AG813" s="26"/>
      <c r="AH813" s="26"/>
    </row>
    <row r="814" spans="1:34" ht="15.75" customHeight="1">
      <c r="A814" s="26"/>
      <c r="B814" s="26"/>
      <c r="C814" s="26"/>
      <c r="D814" s="26"/>
      <c r="E814" s="26"/>
      <c r="F814" s="26"/>
      <c r="G814" s="26"/>
      <c r="H814" s="26"/>
      <c r="I814" s="26"/>
      <c r="J814" s="26"/>
      <c r="K814" s="56"/>
      <c r="L814" s="26"/>
      <c r="M814" s="26"/>
      <c r="N814" s="26"/>
      <c r="O814" s="26"/>
      <c r="P814" s="26"/>
      <c r="Q814" s="26"/>
      <c r="R814" s="26"/>
      <c r="S814" s="26"/>
      <c r="T814" s="26"/>
      <c r="U814" s="26"/>
      <c r="V814" s="26"/>
      <c r="W814" s="26"/>
      <c r="X814" s="26"/>
      <c r="Y814" s="26"/>
      <c r="Z814" s="26"/>
      <c r="AA814" s="26"/>
      <c r="AB814" s="26"/>
      <c r="AC814" s="26"/>
      <c r="AD814" s="26"/>
      <c r="AE814" s="26"/>
      <c r="AF814" s="26"/>
      <c r="AG814" s="26"/>
      <c r="AH814" s="26"/>
    </row>
    <row r="815" spans="1:34" ht="15.75" customHeight="1">
      <c r="A815" s="26"/>
      <c r="B815" s="26"/>
      <c r="C815" s="26"/>
      <c r="D815" s="26"/>
      <c r="E815" s="26"/>
      <c r="F815" s="26"/>
      <c r="G815" s="26"/>
      <c r="H815" s="26"/>
      <c r="I815" s="26"/>
      <c r="J815" s="26"/>
      <c r="K815" s="56"/>
      <c r="L815" s="26"/>
      <c r="M815" s="26"/>
      <c r="N815" s="26"/>
      <c r="O815" s="26"/>
      <c r="P815" s="26"/>
      <c r="Q815" s="26"/>
      <c r="R815" s="26"/>
      <c r="S815" s="26"/>
      <c r="T815" s="26"/>
      <c r="U815" s="26"/>
      <c r="V815" s="26"/>
      <c r="W815" s="26"/>
      <c r="X815" s="26"/>
      <c r="Y815" s="26"/>
      <c r="Z815" s="26"/>
      <c r="AA815" s="26"/>
      <c r="AB815" s="26"/>
      <c r="AC815" s="26"/>
      <c r="AD815" s="26"/>
      <c r="AE815" s="26"/>
      <c r="AF815" s="26"/>
      <c r="AG815" s="26"/>
      <c r="AH815" s="26"/>
    </row>
    <row r="816" spans="1:34" ht="15.75" customHeight="1">
      <c r="A816" s="26"/>
      <c r="B816" s="26"/>
      <c r="C816" s="26"/>
      <c r="D816" s="26"/>
      <c r="E816" s="26"/>
      <c r="F816" s="26"/>
      <c r="G816" s="26"/>
      <c r="H816" s="26"/>
      <c r="I816" s="26"/>
      <c r="J816" s="26"/>
      <c r="K816" s="56"/>
      <c r="L816" s="26"/>
      <c r="M816" s="26"/>
      <c r="N816" s="26"/>
      <c r="O816" s="26"/>
      <c r="P816" s="26"/>
      <c r="Q816" s="26"/>
      <c r="R816" s="26"/>
      <c r="S816" s="26"/>
      <c r="T816" s="26"/>
      <c r="U816" s="26"/>
      <c r="V816" s="26"/>
      <c r="W816" s="26"/>
      <c r="X816" s="26"/>
      <c r="Y816" s="26"/>
      <c r="Z816" s="26"/>
      <c r="AA816" s="26"/>
      <c r="AB816" s="26"/>
      <c r="AC816" s="26"/>
      <c r="AD816" s="26"/>
      <c r="AE816" s="26"/>
      <c r="AF816" s="26"/>
      <c r="AG816" s="26"/>
      <c r="AH816" s="26"/>
    </row>
    <row r="817" spans="1:34" ht="15.75" customHeight="1">
      <c r="A817" s="26"/>
      <c r="B817" s="26"/>
      <c r="C817" s="26"/>
      <c r="D817" s="26"/>
      <c r="E817" s="26"/>
      <c r="F817" s="26"/>
      <c r="G817" s="26"/>
      <c r="H817" s="26"/>
      <c r="I817" s="26"/>
      <c r="J817" s="26"/>
      <c r="K817" s="56"/>
      <c r="L817" s="26"/>
      <c r="M817" s="26"/>
      <c r="N817" s="26"/>
      <c r="O817" s="26"/>
      <c r="P817" s="26"/>
      <c r="Q817" s="26"/>
      <c r="R817" s="26"/>
      <c r="S817" s="26"/>
      <c r="T817" s="26"/>
      <c r="U817" s="26"/>
      <c r="V817" s="26"/>
      <c r="W817" s="26"/>
      <c r="X817" s="26"/>
      <c r="Y817" s="26"/>
      <c r="Z817" s="26"/>
      <c r="AA817" s="26"/>
      <c r="AB817" s="26"/>
      <c r="AC817" s="26"/>
      <c r="AD817" s="26"/>
      <c r="AE817" s="26"/>
      <c r="AF817" s="26"/>
      <c r="AG817" s="26"/>
      <c r="AH817" s="26"/>
    </row>
    <row r="818" spans="1:34" ht="15.75" customHeight="1">
      <c r="A818" s="26"/>
      <c r="B818" s="26"/>
      <c r="C818" s="26"/>
      <c r="D818" s="26"/>
      <c r="E818" s="26"/>
      <c r="F818" s="26"/>
      <c r="G818" s="26"/>
      <c r="H818" s="26"/>
      <c r="I818" s="26"/>
      <c r="J818" s="26"/>
      <c r="K818" s="56"/>
      <c r="L818" s="26"/>
      <c r="M818" s="26"/>
      <c r="N818" s="26"/>
      <c r="O818" s="26"/>
      <c r="P818" s="26"/>
      <c r="Q818" s="26"/>
      <c r="R818" s="26"/>
      <c r="S818" s="26"/>
      <c r="T818" s="26"/>
      <c r="U818" s="26"/>
      <c r="V818" s="26"/>
      <c r="W818" s="26"/>
      <c r="X818" s="26"/>
      <c r="Y818" s="26"/>
      <c r="Z818" s="26"/>
      <c r="AA818" s="26"/>
      <c r="AB818" s="26"/>
      <c r="AC818" s="26"/>
      <c r="AD818" s="26"/>
      <c r="AE818" s="26"/>
      <c r="AF818" s="26"/>
      <c r="AG818" s="26"/>
      <c r="AH818" s="26"/>
    </row>
    <row r="819" spans="1:34" ht="15.75" customHeight="1">
      <c r="A819" s="26"/>
      <c r="B819" s="26"/>
      <c r="C819" s="26"/>
      <c r="D819" s="26"/>
      <c r="E819" s="26"/>
      <c r="F819" s="26"/>
      <c r="G819" s="26"/>
      <c r="H819" s="26"/>
      <c r="I819" s="26"/>
      <c r="J819" s="26"/>
      <c r="K819" s="56"/>
      <c r="L819" s="26"/>
      <c r="M819" s="26"/>
      <c r="N819" s="26"/>
      <c r="O819" s="26"/>
      <c r="P819" s="26"/>
      <c r="Q819" s="26"/>
      <c r="R819" s="26"/>
      <c r="S819" s="26"/>
      <c r="T819" s="26"/>
      <c r="U819" s="26"/>
      <c r="V819" s="26"/>
      <c r="W819" s="26"/>
      <c r="X819" s="26"/>
      <c r="Y819" s="26"/>
      <c r="Z819" s="26"/>
      <c r="AA819" s="26"/>
      <c r="AB819" s="26"/>
      <c r="AC819" s="26"/>
      <c r="AD819" s="26"/>
      <c r="AE819" s="26"/>
      <c r="AF819" s="26"/>
      <c r="AG819" s="26"/>
      <c r="AH819" s="26"/>
    </row>
    <row r="820" spans="1:34" ht="15.75" customHeight="1">
      <c r="A820" s="26"/>
      <c r="B820" s="26"/>
      <c r="C820" s="26"/>
      <c r="D820" s="26"/>
      <c r="E820" s="26"/>
      <c r="F820" s="26"/>
      <c r="G820" s="26"/>
      <c r="H820" s="26"/>
      <c r="I820" s="26"/>
      <c r="J820" s="26"/>
      <c r="K820" s="56"/>
      <c r="L820" s="26"/>
      <c r="M820" s="26"/>
      <c r="N820" s="26"/>
      <c r="O820" s="26"/>
      <c r="P820" s="26"/>
      <c r="Q820" s="26"/>
      <c r="R820" s="26"/>
      <c r="S820" s="26"/>
      <c r="T820" s="26"/>
      <c r="U820" s="26"/>
      <c r="V820" s="26"/>
      <c r="W820" s="26"/>
      <c r="X820" s="26"/>
      <c r="Y820" s="26"/>
      <c r="Z820" s="26"/>
      <c r="AA820" s="26"/>
      <c r="AB820" s="26"/>
      <c r="AC820" s="26"/>
      <c r="AD820" s="26"/>
      <c r="AE820" s="26"/>
      <c r="AF820" s="26"/>
      <c r="AG820" s="26"/>
      <c r="AH820" s="26"/>
    </row>
    <row r="821" spans="1:34" ht="15.75" customHeight="1">
      <c r="A821" s="26"/>
      <c r="B821" s="26"/>
      <c r="C821" s="26"/>
      <c r="D821" s="26"/>
      <c r="E821" s="26"/>
      <c r="F821" s="26"/>
      <c r="G821" s="26"/>
      <c r="H821" s="26"/>
      <c r="I821" s="26"/>
      <c r="J821" s="26"/>
      <c r="K821" s="56"/>
      <c r="L821" s="26"/>
      <c r="M821" s="26"/>
      <c r="N821" s="26"/>
      <c r="O821" s="26"/>
      <c r="P821" s="26"/>
      <c r="Q821" s="26"/>
      <c r="R821" s="26"/>
      <c r="S821" s="26"/>
      <c r="T821" s="26"/>
      <c r="U821" s="26"/>
      <c r="V821" s="26"/>
      <c r="W821" s="26"/>
      <c r="X821" s="26"/>
      <c r="Y821" s="26"/>
      <c r="Z821" s="26"/>
      <c r="AA821" s="26"/>
      <c r="AB821" s="26"/>
      <c r="AC821" s="26"/>
      <c r="AD821" s="26"/>
      <c r="AE821" s="26"/>
      <c r="AF821" s="26"/>
      <c r="AG821" s="26"/>
      <c r="AH821" s="26"/>
    </row>
    <row r="822" spans="1:34" ht="15.75" customHeight="1">
      <c r="A822" s="26"/>
      <c r="B822" s="26"/>
      <c r="C822" s="26"/>
      <c r="D822" s="26"/>
      <c r="E822" s="26"/>
      <c r="F822" s="26"/>
      <c r="G822" s="26"/>
      <c r="H822" s="26"/>
      <c r="I822" s="26"/>
      <c r="J822" s="26"/>
      <c r="K822" s="56"/>
      <c r="L822" s="26"/>
      <c r="M822" s="26"/>
      <c r="N822" s="26"/>
      <c r="O822" s="26"/>
      <c r="P822" s="26"/>
      <c r="Q822" s="26"/>
      <c r="R822" s="26"/>
      <c r="S822" s="26"/>
      <c r="T822" s="26"/>
      <c r="U822" s="26"/>
      <c r="V822" s="26"/>
      <c r="W822" s="26"/>
      <c r="X822" s="26"/>
      <c r="Y822" s="26"/>
      <c r="Z822" s="26"/>
      <c r="AA822" s="26"/>
      <c r="AB822" s="26"/>
      <c r="AC822" s="26"/>
      <c r="AD822" s="26"/>
      <c r="AE822" s="26"/>
      <c r="AF822" s="26"/>
      <c r="AG822" s="26"/>
      <c r="AH822" s="26"/>
    </row>
    <row r="823" spans="1:34" ht="15.75" customHeight="1">
      <c r="A823" s="26"/>
      <c r="B823" s="26"/>
      <c r="C823" s="26"/>
      <c r="D823" s="26"/>
      <c r="E823" s="26"/>
      <c r="F823" s="26"/>
      <c r="G823" s="26"/>
      <c r="H823" s="26"/>
      <c r="I823" s="26"/>
      <c r="J823" s="26"/>
      <c r="K823" s="56"/>
      <c r="L823" s="26"/>
      <c r="M823" s="26"/>
      <c r="N823" s="26"/>
      <c r="O823" s="26"/>
      <c r="P823" s="26"/>
      <c r="Q823" s="26"/>
      <c r="R823" s="26"/>
      <c r="S823" s="26"/>
      <c r="T823" s="26"/>
      <c r="U823" s="26"/>
      <c r="V823" s="26"/>
      <c r="W823" s="26"/>
      <c r="X823" s="26"/>
      <c r="Y823" s="26"/>
      <c r="Z823" s="26"/>
      <c r="AA823" s="26"/>
      <c r="AB823" s="26"/>
      <c r="AC823" s="26"/>
      <c r="AD823" s="26"/>
      <c r="AE823" s="26"/>
      <c r="AF823" s="26"/>
      <c r="AG823" s="26"/>
      <c r="AH823" s="26"/>
    </row>
    <row r="824" spans="1:34" ht="15.75" customHeight="1">
      <c r="A824" s="26"/>
      <c r="B824" s="26"/>
      <c r="C824" s="26"/>
      <c r="D824" s="26"/>
      <c r="E824" s="26"/>
      <c r="F824" s="26"/>
      <c r="G824" s="26"/>
      <c r="H824" s="26"/>
      <c r="I824" s="26"/>
      <c r="J824" s="26"/>
      <c r="K824" s="56"/>
      <c r="L824" s="26"/>
      <c r="M824" s="26"/>
      <c r="N824" s="26"/>
      <c r="O824" s="26"/>
      <c r="P824" s="26"/>
      <c r="Q824" s="26"/>
      <c r="R824" s="26"/>
      <c r="S824" s="26"/>
      <c r="T824" s="26"/>
      <c r="U824" s="26"/>
      <c r="V824" s="26"/>
      <c r="W824" s="26"/>
      <c r="X824" s="26"/>
      <c r="Y824" s="26"/>
      <c r="Z824" s="26"/>
      <c r="AA824" s="26"/>
      <c r="AB824" s="26"/>
      <c r="AC824" s="26"/>
      <c r="AD824" s="26"/>
      <c r="AE824" s="26"/>
      <c r="AF824" s="26"/>
      <c r="AG824" s="26"/>
      <c r="AH824" s="26"/>
    </row>
    <row r="825" spans="1:34" ht="15.75" customHeight="1">
      <c r="A825" s="26"/>
      <c r="B825" s="26"/>
      <c r="C825" s="26"/>
      <c r="D825" s="26"/>
      <c r="E825" s="26"/>
      <c r="F825" s="26"/>
      <c r="G825" s="26"/>
      <c r="H825" s="26"/>
      <c r="I825" s="26"/>
      <c r="J825" s="26"/>
      <c r="K825" s="56"/>
      <c r="L825" s="26"/>
      <c r="M825" s="26"/>
      <c r="N825" s="26"/>
      <c r="O825" s="26"/>
      <c r="P825" s="26"/>
      <c r="Q825" s="26"/>
      <c r="R825" s="26"/>
      <c r="S825" s="26"/>
      <c r="T825" s="26"/>
      <c r="U825" s="26"/>
      <c r="V825" s="26"/>
      <c r="W825" s="26"/>
      <c r="X825" s="26"/>
      <c r="Y825" s="26"/>
      <c r="Z825" s="26"/>
      <c r="AA825" s="26"/>
      <c r="AB825" s="26"/>
      <c r="AC825" s="26"/>
      <c r="AD825" s="26"/>
      <c r="AE825" s="26"/>
      <c r="AF825" s="26"/>
      <c r="AG825" s="26"/>
      <c r="AH825" s="26"/>
    </row>
    <row r="826" spans="1:34" ht="15.75" customHeight="1">
      <c r="A826" s="26"/>
      <c r="B826" s="26"/>
      <c r="C826" s="26"/>
      <c r="D826" s="26"/>
      <c r="E826" s="26"/>
      <c r="F826" s="26"/>
      <c r="G826" s="26"/>
      <c r="H826" s="26"/>
      <c r="I826" s="26"/>
      <c r="J826" s="26"/>
      <c r="K826" s="56"/>
      <c r="L826" s="26"/>
      <c r="M826" s="26"/>
      <c r="N826" s="26"/>
      <c r="O826" s="26"/>
      <c r="P826" s="26"/>
      <c r="Q826" s="26"/>
      <c r="R826" s="26"/>
      <c r="S826" s="26"/>
      <c r="T826" s="26"/>
      <c r="U826" s="26"/>
      <c r="V826" s="26"/>
      <c r="W826" s="26"/>
      <c r="X826" s="26"/>
      <c r="Y826" s="26"/>
      <c r="Z826" s="26"/>
      <c r="AA826" s="26"/>
      <c r="AB826" s="26"/>
      <c r="AC826" s="26"/>
      <c r="AD826" s="26"/>
      <c r="AE826" s="26"/>
      <c r="AF826" s="26"/>
      <c r="AG826" s="26"/>
      <c r="AH826" s="26"/>
    </row>
    <row r="827" spans="1:34" ht="15.75" customHeight="1">
      <c r="A827" s="26"/>
      <c r="B827" s="26"/>
      <c r="C827" s="26"/>
      <c r="D827" s="26"/>
      <c r="E827" s="26"/>
      <c r="F827" s="26"/>
      <c r="G827" s="26"/>
      <c r="H827" s="26"/>
      <c r="I827" s="26"/>
      <c r="J827" s="26"/>
      <c r="K827" s="56"/>
      <c r="L827" s="26"/>
      <c r="M827" s="26"/>
      <c r="N827" s="26"/>
      <c r="O827" s="26"/>
      <c r="P827" s="26"/>
      <c r="Q827" s="26"/>
      <c r="R827" s="26"/>
      <c r="S827" s="26"/>
      <c r="T827" s="26"/>
      <c r="U827" s="26"/>
      <c r="V827" s="26"/>
      <c r="W827" s="26"/>
      <c r="X827" s="26"/>
      <c r="Y827" s="26"/>
      <c r="Z827" s="26"/>
      <c r="AA827" s="26"/>
      <c r="AB827" s="26"/>
      <c r="AC827" s="26"/>
      <c r="AD827" s="26"/>
      <c r="AE827" s="26"/>
      <c r="AF827" s="26"/>
      <c r="AG827" s="26"/>
      <c r="AH827" s="26"/>
    </row>
    <row r="828" spans="1:34" ht="15.75" customHeight="1">
      <c r="A828" s="26"/>
      <c r="B828" s="26"/>
      <c r="C828" s="26"/>
      <c r="D828" s="26"/>
      <c r="E828" s="26"/>
      <c r="F828" s="26"/>
      <c r="G828" s="26"/>
      <c r="H828" s="26"/>
      <c r="I828" s="26"/>
      <c r="J828" s="26"/>
      <c r="K828" s="56"/>
      <c r="L828" s="26"/>
      <c r="M828" s="26"/>
      <c r="N828" s="26"/>
      <c r="O828" s="26"/>
      <c r="P828" s="26"/>
      <c r="Q828" s="26"/>
      <c r="R828" s="26"/>
      <c r="S828" s="26"/>
      <c r="T828" s="26"/>
      <c r="U828" s="26"/>
      <c r="V828" s="26"/>
      <c r="W828" s="26"/>
      <c r="X828" s="26"/>
      <c r="Y828" s="26"/>
      <c r="Z828" s="26"/>
      <c r="AA828" s="26"/>
      <c r="AB828" s="26"/>
      <c r="AC828" s="26"/>
      <c r="AD828" s="26"/>
      <c r="AE828" s="26"/>
      <c r="AF828" s="26"/>
      <c r="AG828" s="26"/>
      <c r="AH828" s="26"/>
    </row>
    <row r="829" spans="1:34" ht="15.75" customHeight="1">
      <c r="A829" s="26"/>
      <c r="B829" s="26"/>
      <c r="C829" s="26"/>
      <c r="D829" s="26"/>
      <c r="E829" s="26"/>
      <c r="F829" s="26"/>
      <c r="G829" s="26"/>
      <c r="H829" s="26"/>
      <c r="I829" s="26"/>
      <c r="J829" s="26"/>
      <c r="K829" s="56"/>
      <c r="L829" s="26"/>
      <c r="M829" s="26"/>
      <c r="N829" s="26"/>
      <c r="O829" s="26"/>
      <c r="P829" s="26"/>
      <c r="Q829" s="26"/>
      <c r="R829" s="26"/>
      <c r="S829" s="26"/>
      <c r="T829" s="26"/>
      <c r="U829" s="26"/>
      <c r="V829" s="26"/>
      <c r="W829" s="26"/>
      <c r="X829" s="26"/>
      <c r="Y829" s="26"/>
      <c r="Z829" s="26"/>
      <c r="AA829" s="26"/>
      <c r="AB829" s="26"/>
      <c r="AC829" s="26"/>
      <c r="AD829" s="26"/>
      <c r="AE829" s="26"/>
      <c r="AF829" s="26"/>
      <c r="AG829" s="26"/>
      <c r="AH829" s="26"/>
    </row>
    <row r="830" spans="1:34" ht="15.75" customHeight="1">
      <c r="A830" s="26"/>
      <c r="B830" s="26"/>
      <c r="C830" s="26"/>
      <c r="D830" s="26"/>
      <c r="E830" s="26"/>
      <c r="F830" s="26"/>
      <c r="G830" s="26"/>
      <c r="H830" s="26"/>
      <c r="I830" s="26"/>
      <c r="J830" s="26"/>
      <c r="K830" s="56"/>
      <c r="L830" s="26"/>
      <c r="M830" s="26"/>
      <c r="N830" s="26"/>
      <c r="O830" s="26"/>
      <c r="P830" s="26"/>
      <c r="Q830" s="26"/>
      <c r="R830" s="26"/>
      <c r="S830" s="26"/>
      <c r="T830" s="26"/>
      <c r="U830" s="26"/>
      <c r="V830" s="26"/>
      <c r="W830" s="26"/>
      <c r="X830" s="26"/>
      <c r="Y830" s="26"/>
      <c r="Z830" s="26"/>
      <c r="AA830" s="26"/>
      <c r="AB830" s="26"/>
      <c r="AC830" s="26"/>
      <c r="AD830" s="26"/>
      <c r="AE830" s="26"/>
      <c r="AF830" s="26"/>
      <c r="AG830" s="26"/>
      <c r="AH830" s="26"/>
    </row>
    <row r="831" spans="1:34" ht="15.75" customHeight="1">
      <c r="A831" s="26"/>
      <c r="B831" s="26"/>
      <c r="C831" s="26"/>
      <c r="D831" s="26"/>
      <c r="E831" s="26"/>
      <c r="F831" s="26"/>
      <c r="G831" s="26"/>
      <c r="H831" s="26"/>
      <c r="I831" s="26"/>
      <c r="J831" s="26"/>
      <c r="K831" s="5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row>
    <row r="832" spans="1:34" ht="15.75" customHeight="1">
      <c r="A832" s="26"/>
      <c r="B832" s="26"/>
      <c r="C832" s="26"/>
      <c r="D832" s="26"/>
      <c r="E832" s="26"/>
      <c r="F832" s="26"/>
      <c r="G832" s="26"/>
      <c r="H832" s="26"/>
      <c r="I832" s="26"/>
      <c r="J832" s="26"/>
      <c r="K832" s="56"/>
      <c r="L832" s="26"/>
      <c r="M832" s="26"/>
      <c r="N832" s="26"/>
      <c r="O832" s="26"/>
      <c r="P832" s="26"/>
      <c r="Q832" s="26"/>
      <c r="R832" s="26"/>
      <c r="S832" s="26"/>
      <c r="T832" s="26"/>
      <c r="U832" s="26"/>
      <c r="V832" s="26"/>
      <c r="W832" s="26"/>
      <c r="X832" s="26"/>
      <c r="Y832" s="26"/>
      <c r="Z832" s="26"/>
      <c r="AA832" s="26"/>
      <c r="AB832" s="26"/>
      <c r="AC832" s="26"/>
      <c r="AD832" s="26"/>
      <c r="AE832" s="26"/>
      <c r="AF832" s="26"/>
      <c r="AG832" s="26"/>
      <c r="AH832" s="26"/>
    </row>
    <row r="833" spans="1:34" ht="15.75" customHeight="1">
      <c r="A833" s="26"/>
      <c r="B833" s="26"/>
      <c r="C833" s="26"/>
      <c r="D833" s="26"/>
      <c r="E833" s="26"/>
      <c r="F833" s="26"/>
      <c r="G833" s="26"/>
      <c r="H833" s="26"/>
      <c r="I833" s="26"/>
      <c r="J833" s="26"/>
      <c r="K833" s="56"/>
      <c r="L833" s="26"/>
      <c r="M833" s="26"/>
      <c r="N833" s="26"/>
      <c r="O833" s="26"/>
      <c r="P833" s="26"/>
      <c r="Q833" s="26"/>
      <c r="R833" s="26"/>
      <c r="S833" s="26"/>
      <c r="T833" s="26"/>
      <c r="U833" s="26"/>
      <c r="V833" s="26"/>
      <c r="W833" s="26"/>
      <c r="X833" s="26"/>
      <c r="Y833" s="26"/>
      <c r="Z833" s="26"/>
      <c r="AA833" s="26"/>
      <c r="AB833" s="26"/>
      <c r="AC833" s="26"/>
      <c r="AD833" s="26"/>
      <c r="AE833" s="26"/>
      <c r="AF833" s="26"/>
      <c r="AG833" s="26"/>
      <c r="AH833" s="26"/>
    </row>
    <row r="834" spans="1:34" ht="15.75" customHeight="1">
      <c r="A834" s="26"/>
      <c r="B834" s="26"/>
      <c r="C834" s="26"/>
      <c r="D834" s="26"/>
      <c r="E834" s="26"/>
      <c r="F834" s="26"/>
      <c r="G834" s="26"/>
      <c r="H834" s="26"/>
      <c r="I834" s="26"/>
      <c r="J834" s="26"/>
      <c r="K834" s="56"/>
      <c r="L834" s="26"/>
      <c r="M834" s="26"/>
      <c r="N834" s="26"/>
      <c r="O834" s="26"/>
      <c r="P834" s="26"/>
      <c r="Q834" s="26"/>
      <c r="R834" s="26"/>
      <c r="S834" s="26"/>
      <c r="T834" s="26"/>
      <c r="U834" s="26"/>
      <c r="V834" s="26"/>
      <c r="W834" s="26"/>
      <c r="X834" s="26"/>
      <c r="Y834" s="26"/>
      <c r="Z834" s="26"/>
      <c r="AA834" s="26"/>
      <c r="AB834" s="26"/>
      <c r="AC834" s="26"/>
      <c r="AD834" s="26"/>
      <c r="AE834" s="26"/>
      <c r="AF834" s="26"/>
      <c r="AG834" s="26"/>
      <c r="AH834" s="26"/>
    </row>
    <row r="835" spans="1:34" ht="15.75" customHeight="1">
      <c r="A835" s="26"/>
      <c r="B835" s="26"/>
      <c r="C835" s="26"/>
      <c r="D835" s="26"/>
      <c r="E835" s="26"/>
      <c r="F835" s="26"/>
      <c r="G835" s="26"/>
      <c r="H835" s="26"/>
      <c r="I835" s="26"/>
      <c r="J835" s="26"/>
      <c r="K835" s="56"/>
      <c r="L835" s="26"/>
      <c r="M835" s="26"/>
      <c r="N835" s="26"/>
      <c r="O835" s="26"/>
      <c r="P835" s="26"/>
      <c r="Q835" s="26"/>
      <c r="R835" s="26"/>
      <c r="S835" s="26"/>
      <c r="T835" s="26"/>
      <c r="U835" s="26"/>
      <c r="V835" s="26"/>
      <c r="W835" s="26"/>
      <c r="X835" s="26"/>
      <c r="Y835" s="26"/>
      <c r="Z835" s="26"/>
      <c r="AA835" s="26"/>
      <c r="AB835" s="26"/>
      <c r="AC835" s="26"/>
      <c r="AD835" s="26"/>
      <c r="AE835" s="26"/>
      <c r="AF835" s="26"/>
      <c r="AG835" s="26"/>
      <c r="AH835" s="26"/>
    </row>
    <row r="836" spans="1:34" ht="15.75" customHeight="1">
      <c r="A836" s="26"/>
      <c r="B836" s="26"/>
      <c r="C836" s="26"/>
      <c r="D836" s="26"/>
      <c r="E836" s="26"/>
      <c r="F836" s="26"/>
      <c r="G836" s="26"/>
      <c r="H836" s="26"/>
      <c r="I836" s="26"/>
      <c r="J836" s="26"/>
      <c r="K836" s="56"/>
      <c r="L836" s="26"/>
      <c r="M836" s="26"/>
      <c r="N836" s="26"/>
      <c r="O836" s="26"/>
      <c r="P836" s="26"/>
      <c r="Q836" s="26"/>
      <c r="R836" s="26"/>
      <c r="S836" s="26"/>
      <c r="T836" s="26"/>
      <c r="U836" s="26"/>
      <c r="V836" s="26"/>
      <c r="W836" s="26"/>
      <c r="X836" s="26"/>
      <c r="Y836" s="26"/>
      <c r="Z836" s="26"/>
      <c r="AA836" s="26"/>
      <c r="AB836" s="26"/>
      <c r="AC836" s="26"/>
      <c r="AD836" s="26"/>
      <c r="AE836" s="26"/>
      <c r="AF836" s="26"/>
      <c r="AG836" s="26"/>
      <c r="AH836" s="26"/>
    </row>
    <row r="837" spans="1:34" ht="15.75" customHeight="1">
      <c r="A837" s="26"/>
      <c r="B837" s="26"/>
      <c r="C837" s="26"/>
      <c r="D837" s="26"/>
      <c r="E837" s="26"/>
      <c r="F837" s="26"/>
      <c r="G837" s="26"/>
      <c r="H837" s="26"/>
      <c r="I837" s="26"/>
      <c r="J837" s="26"/>
      <c r="K837" s="56"/>
      <c r="L837" s="26"/>
      <c r="M837" s="26"/>
      <c r="N837" s="26"/>
      <c r="O837" s="26"/>
      <c r="P837" s="26"/>
      <c r="Q837" s="26"/>
      <c r="R837" s="26"/>
      <c r="S837" s="26"/>
      <c r="T837" s="26"/>
      <c r="U837" s="26"/>
      <c r="V837" s="26"/>
      <c r="W837" s="26"/>
      <c r="X837" s="26"/>
      <c r="Y837" s="26"/>
      <c r="Z837" s="26"/>
      <c r="AA837" s="26"/>
      <c r="AB837" s="26"/>
      <c r="AC837" s="26"/>
      <c r="AD837" s="26"/>
      <c r="AE837" s="26"/>
      <c r="AF837" s="26"/>
      <c r="AG837" s="26"/>
      <c r="AH837" s="26"/>
    </row>
    <row r="838" spans="1:34" ht="15.75" customHeight="1">
      <c r="A838" s="26"/>
      <c r="B838" s="26"/>
      <c r="C838" s="26"/>
      <c r="D838" s="26"/>
      <c r="E838" s="26"/>
      <c r="F838" s="26"/>
      <c r="G838" s="26"/>
      <c r="H838" s="26"/>
      <c r="I838" s="26"/>
      <c r="J838" s="26"/>
      <c r="K838" s="56"/>
      <c r="L838" s="26"/>
      <c r="M838" s="26"/>
      <c r="N838" s="26"/>
      <c r="O838" s="26"/>
      <c r="P838" s="26"/>
      <c r="Q838" s="26"/>
      <c r="R838" s="26"/>
      <c r="S838" s="26"/>
      <c r="T838" s="26"/>
      <c r="U838" s="26"/>
      <c r="V838" s="26"/>
      <c r="W838" s="26"/>
      <c r="X838" s="26"/>
      <c r="Y838" s="26"/>
      <c r="Z838" s="26"/>
      <c r="AA838" s="26"/>
      <c r="AB838" s="26"/>
      <c r="AC838" s="26"/>
      <c r="AD838" s="26"/>
      <c r="AE838" s="26"/>
      <c r="AF838" s="26"/>
      <c r="AG838" s="26"/>
      <c r="AH838" s="26"/>
    </row>
    <row r="839" spans="1:34" ht="15.75" customHeight="1">
      <c r="A839" s="26"/>
      <c r="B839" s="26"/>
      <c r="C839" s="26"/>
      <c r="D839" s="26"/>
      <c r="E839" s="26"/>
      <c r="F839" s="26"/>
      <c r="G839" s="26"/>
      <c r="H839" s="26"/>
      <c r="I839" s="26"/>
      <c r="J839" s="26"/>
      <c r="K839" s="56"/>
      <c r="L839" s="26"/>
      <c r="M839" s="26"/>
      <c r="N839" s="26"/>
      <c r="O839" s="26"/>
      <c r="P839" s="26"/>
      <c r="Q839" s="26"/>
      <c r="R839" s="26"/>
      <c r="S839" s="26"/>
      <c r="T839" s="26"/>
      <c r="U839" s="26"/>
      <c r="V839" s="26"/>
      <c r="W839" s="26"/>
      <c r="X839" s="26"/>
      <c r="Y839" s="26"/>
      <c r="Z839" s="26"/>
      <c r="AA839" s="26"/>
      <c r="AB839" s="26"/>
      <c r="AC839" s="26"/>
      <c r="AD839" s="26"/>
      <c r="AE839" s="26"/>
      <c r="AF839" s="26"/>
      <c r="AG839" s="26"/>
      <c r="AH839" s="26"/>
    </row>
    <row r="840" spans="1:34" ht="15.75" customHeight="1">
      <c r="A840" s="26"/>
      <c r="B840" s="26"/>
      <c r="C840" s="26"/>
      <c r="D840" s="26"/>
      <c r="E840" s="26"/>
      <c r="F840" s="26"/>
      <c r="G840" s="26"/>
      <c r="H840" s="26"/>
      <c r="I840" s="26"/>
      <c r="J840" s="26"/>
      <c r="K840" s="56"/>
      <c r="L840" s="26"/>
      <c r="M840" s="26"/>
      <c r="N840" s="26"/>
      <c r="O840" s="26"/>
      <c r="P840" s="26"/>
      <c r="Q840" s="26"/>
      <c r="R840" s="26"/>
      <c r="S840" s="26"/>
      <c r="T840" s="26"/>
      <c r="U840" s="26"/>
      <c r="V840" s="26"/>
      <c r="W840" s="26"/>
      <c r="X840" s="26"/>
      <c r="Y840" s="26"/>
      <c r="Z840" s="26"/>
      <c r="AA840" s="26"/>
      <c r="AB840" s="26"/>
      <c r="AC840" s="26"/>
      <c r="AD840" s="26"/>
      <c r="AE840" s="26"/>
      <c r="AF840" s="26"/>
      <c r="AG840" s="26"/>
      <c r="AH840" s="26"/>
    </row>
    <row r="841" spans="1:34" ht="15.75" customHeight="1">
      <c r="A841" s="26"/>
      <c r="B841" s="26"/>
      <c r="C841" s="26"/>
      <c r="D841" s="26"/>
      <c r="E841" s="26"/>
      <c r="F841" s="26"/>
      <c r="G841" s="26"/>
      <c r="H841" s="26"/>
      <c r="I841" s="26"/>
      <c r="J841" s="26"/>
      <c r="K841" s="56"/>
      <c r="L841" s="26"/>
      <c r="M841" s="26"/>
      <c r="N841" s="26"/>
      <c r="O841" s="26"/>
      <c r="P841" s="26"/>
      <c r="Q841" s="26"/>
      <c r="R841" s="26"/>
      <c r="S841" s="26"/>
      <c r="T841" s="26"/>
      <c r="U841" s="26"/>
      <c r="V841" s="26"/>
      <c r="W841" s="26"/>
      <c r="X841" s="26"/>
      <c r="Y841" s="26"/>
      <c r="Z841" s="26"/>
      <c r="AA841" s="26"/>
      <c r="AB841" s="26"/>
      <c r="AC841" s="26"/>
      <c r="AD841" s="26"/>
      <c r="AE841" s="26"/>
      <c r="AF841" s="26"/>
      <c r="AG841" s="26"/>
      <c r="AH841" s="26"/>
    </row>
    <row r="842" spans="1:34" ht="15.75" customHeight="1">
      <c r="A842" s="26"/>
      <c r="B842" s="26"/>
      <c r="C842" s="26"/>
      <c r="D842" s="26"/>
      <c r="E842" s="26"/>
      <c r="F842" s="26"/>
      <c r="G842" s="26"/>
      <c r="H842" s="26"/>
      <c r="I842" s="26"/>
      <c r="J842" s="26"/>
      <c r="K842" s="56"/>
      <c r="L842" s="26"/>
      <c r="M842" s="26"/>
      <c r="N842" s="26"/>
      <c r="O842" s="26"/>
      <c r="P842" s="26"/>
      <c r="Q842" s="26"/>
      <c r="R842" s="26"/>
      <c r="S842" s="26"/>
      <c r="T842" s="26"/>
      <c r="U842" s="26"/>
      <c r="V842" s="26"/>
      <c r="W842" s="26"/>
      <c r="X842" s="26"/>
      <c r="Y842" s="26"/>
      <c r="Z842" s="26"/>
      <c r="AA842" s="26"/>
      <c r="AB842" s="26"/>
      <c r="AC842" s="26"/>
      <c r="AD842" s="26"/>
      <c r="AE842" s="26"/>
      <c r="AF842" s="26"/>
      <c r="AG842" s="26"/>
      <c r="AH842" s="26"/>
    </row>
    <row r="843" spans="1:34" ht="15.75" customHeight="1">
      <c r="A843" s="26"/>
      <c r="B843" s="26"/>
      <c r="C843" s="26"/>
      <c r="D843" s="26"/>
      <c r="E843" s="26"/>
      <c r="F843" s="26"/>
      <c r="G843" s="26"/>
      <c r="H843" s="26"/>
      <c r="I843" s="26"/>
      <c r="J843" s="26"/>
      <c r="K843" s="56"/>
      <c r="L843" s="26"/>
      <c r="M843" s="26"/>
      <c r="N843" s="26"/>
      <c r="O843" s="26"/>
      <c r="P843" s="26"/>
      <c r="Q843" s="26"/>
      <c r="R843" s="26"/>
      <c r="S843" s="26"/>
      <c r="T843" s="26"/>
      <c r="U843" s="26"/>
      <c r="V843" s="26"/>
      <c r="W843" s="26"/>
      <c r="X843" s="26"/>
      <c r="Y843" s="26"/>
      <c r="Z843" s="26"/>
      <c r="AA843" s="26"/>
      <c r="AB843" s="26"/>
      <c r="AC843" s="26"/>
      <c r="AD843" s="26"/>
      <c r="AE843" s="26"/>
      <c r="AF843" s="26"/>
      <c r="AG843" s="26"/>
      <c r="AH843" s="26"/>
    </row>
    <row r="844" spans="1:34" ht="15.75" customHeight="1">
      <c r="A844" s="26"/>
      <c r="B844" s="26"/>
      <c r="C844" s="26"/>
      <c r="D844" s="26"/>
      <c r="E844" s="26"/>
      <c r="F844" s="26"/>
      <c r="G844" s="26"/>
      <c r="H844" s="26"/>
      <c r="I844" s="26"/>
      <c r="J844" s="26"/>
      <c r="K844" s="56"/>
      <c r="L844" s="26"/>
      <c r="M844" s="26"/>
      <c r="N844" s="26"/>
      <c r="O844" s="26"/>
      <c r="P844" s="26"/>
      <c r="Q844" s="26"/>
      <c r="R844" s="26"/>
      <c r="S844" s="26"/>
      <c r="T844" s="26"/>
      <c r="U844" s="26"/>
      <c r="V844" s="26"/>
      <c r="W844" s="26"/>
      <c r="X844" s="26"/>
      <c r="Y844" s="26"/>
      <c r="Z844" s="26"/>
      <c r="AA844" s="26"/>
      <c r="AB844" s="26"/>
      <c r="AC844" s="26"/>
      <c r="AD844" s="26"/>
      <c r="AE844" s="26"/>
      <c r="AF844" s="26"/>
      <c r="AG844" s="26"/>
      <c r="AH844" s="26"/>
    </row>
    <row r="845" spans="1:34" ht="15.75" customHeight="1">
      <c r="A845" s="26"/>
      <c r="B845" s="26"/>
      <c r="C845" s="26"/>
      <c r="D845" s="26"/>
      <c r="E845" s="26"/>
      <c r="F845" s="26"/>
      <c r="G845" s="26"/>
      <c r="H845" s="26"/>
      <c r="I845" s="26"/>
      <c r="J845" s="26"/>
      <c r="K845" s="56"/>
      <c r="L845" s="26"/>
      <c r="M845" s="26"/>
      <c r="N845" s="26"/>
      <c r="O845" s="26"/>
      <c r="P845" s="26"/>
      <c r="Q845" s="26"/>
      <c r="R845" s="26"/>
      <c r="S845" s="26"/>
      <c r="T845" s="26"/>
      <c r="U845" s="26"/>
      <c r="V845" s="26"/>
      <c r="W845" s="26"/>
      <c r="X845" s="26"/>
      <c r="Y845" s="26"/>
      <c r="Z845" s="26"/>
      <c r="AA845" s="26"/>
      <c r="AB845" s="26"/>
      <c r="AC845" s="26"/>
      <c r="AD845" s="26"/>
      <c r="AE845" s="26"/>
      <c r="AF845" s="26"/>
      <c r="AG845" s="26"/>
      <c r="AH845" s="26"/>
    </row>
    <row r="846" spans="1:34" ht="15.75" customHeight="1">
      <c r="A846" s="26"/>
      <c r="B846" s="26"/>
      <c r="C846" s="26"/>
      <c r="D846" s="26"/>
      <c r="E846" s="26"/>
      <c r="F846" s="26"/>
      <c r="G846" s="26"/>
      <c r="H846" s="26"/>
      <c r="I846" s="26"/>
      <c r="J846" s="26"/>
      <c r="K846" s="56"/>
      <c r="L846" s="26"/>
      <c r="M846" s="26"/>
      <c r="N846" s="26"/>
      <c r="O846" s="26"/>
      <c r="P846" s="26"/>
      <c r="Q846" s="26"/>
      <c r="R846" s="26"/>
      <c r="S846" s="26"/>
      <c r="T846" s="26"/>
      <c r="U846" s="26"/>
      <c r="V846" s="26"/>
      <c r="W846" s="26"/>
      <c r="X846" s="26"/>
      <c r="Y846" s="26"/>
      <c r="Z846" s="26"/>
      <c r="AA846" s="26"/>
      <c r="AB846" s="26"/>
      <c r="AC846" s="26"/>
      <c r="AD846" s="26"/>
      <c r="AE846" s="26"/>
      <c r="AF846" s="26"/>
      <c r="AG846" s="26"/>
      <c r="AH846" s="26"/>
    </row>
    <row r="847" spans="1:34" ht="15.75" customHeight="1">
      <c r="A847" s="26"/>
      <c r="B847" s="26"/>
      <c r="C847" s="26"/>
      <c r="D847" s="26"/>
      <c r="E847" s="26"/>
      <c r="F847" s="26"/>
      <c r="G847" s="26"/>
      <c r="H847" s="26"/>
      <c r="I847" s="26"/>
      <c r="J847" s="26"/>
      <c r="K847" s="56"/>
      <c r="L847" s="26"/>
      <c r="M847" s="26"/>
      <c r="N847" s="26"/>
      <c r="O847" s="26"/>
      <c r="P847" s="26"/>
      <c r="Q847" s="26"/>
      <c r="R847" s="26"/>
      <c r="S847" s="26"/>
      <c r="T847" s="26"/>
      <c r="U847" s="26"/>
      <c r="V847" s="26"/>
      <c r="W847" s="26"/>
      <c r="X847" s="26"/>
      <c r="Y847" s="26"/>
      <c r="Z847" s="26"/>
      <c r="AA847" s="26"/>
      <c r="AB847" s="26"/>
      <c r="AC847" s="26"/>
      <c r="AD847" s="26"/>
      <c r="AE847" s="26"/>
      <c r="AF847" s="26"/>
      <c r="AG847" s="26"/>
      <c r="AH847" s="26"/>
    </row>
    <row r="848" spans="1:34" ht="15.75" customHeight="1">
      <c r="A848" s="26"/>
      <c r="B848" s="26"/>
      <c r="C848" s="26"/>
      <c r="D848" s="26"/>
      <c r="E848" s="26"/>
      <c r="F848" s="26"/>
      <c r="G848" s="26"/>
      <c r="H848" s="26"/>
      <c r="I848" s="26"/>
      <c r="J848" s="26"/>
      <c r="K848" s="56"/>
      <c r="L848" s="26"/>
      <c r="M848" s="26"/>
      <c r="N848" s="26"/>
      <c r="O848" s="26"/>
      <c r="P848" s="26"/>
      <c r="Q848" s="26"/>
      <c r="R848" s="26"/>
      <c r="S848" s="26"/>
      <c r="T848" s="26"/>
      <c r="U848" s="26"/>
      <c r="V848" s="26"/>
      <c r="W848" s="26"/>
      <c r="X848" s="26"/>
      <c r="Y848" s="26"/>
      <c r="Z848" s="26"/>
      <c r="AA848" s="26"/>
      <c r="AB848" s="26"/>
      <c r="AC848" s="26"/>
      <c r="AD848" s="26"/>
      <c r="AE848" s="26"/>
      <c r="AF848" s="26"/>
      <c r="AG848" s="26"/>
      <c r="AH848" s="26"/>
    </row>
    <row r="849" spans="1:34" ht="15.75" customHeight="1">
      <c r="A849" s="26"/>
      <c r="B849" s="26"/>
      <c r="C849" s="26"/>
      <c r="D849" s="26"/>
      <c r="E849" s="26"/>
      <c r="F849" s="26"/>
      <c r="G849" s="26"/>
      <c r="H849" s="26"/>
      <c r="I849" s="26"/>
      <c r="J849" s="26"/>
      <c r="K849" s="56"/>
      <c r="L849" s="26"/>
      <c r="M849" s="26"/>
      <c r="N849" s="26"/>
      <c r="O849" s="26"/>
      <c r="P849" s="26"/>
      <c r="Q849" s="26"/>
      <c r="R849" s="26"/>
      <c r="S849" s="26"/>
      <c r="T849" s="26"/>
      <c r="U849" s="26"/>
      <c r="V849" s="26"/>
      <c r="W849" s="26"/>
      <c r="X849" s="26"/>
      <c r="Y849" s="26"/>
      <c r="Z849" s="26"/>
      <c r="AA849" s="26"/>
      <c r="AB849" s="26"/>
      <c r="AC849" s="26"/>
      <c r="AD849" s="26"/>
      <c r="AE849" s="26"/>
      <c r="AF849" s="26"/>
      <c r="AG849" s="26"/>
      <c r="AH849" s="26"/>
    </row>
    <row r="850" spans="1:34" ht="15.75" customHeight="1">
      <c r="A850" s="26"/>
      <c r="B850" s="26"/>
      <c r="C850" s="26"/>
      <c r="D850" s="26"/>
      <c r="E850" s="26"/>
      <c r="F850" s="26"/>
      <c r="G850" s="26"/>
      <c r="H850" s="26"/>
      <c r="I850" s="26"/>
      <c r="J850" s="26"/>
      <c r="K850" s="56"/>
      <c r="L850" s="26"/>
      <c r="M850" s="26"/>
      <c r="N850" s="26"/>
      <c r="O850" s="26"/>
      <c r="P850" s="26"/>
      <c r="Q850" s="26"/>
      <c r="R850" s="26"/>
      <c r="S850" s="26"/>
      <c r="T850" s="26"/>
      <c r="U850" s="26"/>
      <c r="V850" s="26"/>
      <c r="W850" s="26"/>
      <c r="X850" s="26"/>
      <c r="Y850" s="26"/>
      <c r="Z850" s="26"/>
      <c r="AA850" s="26"/>
      <c r="AB850" s="26"/>
      <c r="AC850" s="26"/>
      <c r="AD850" s="26"/>
      <c r="AE850" s="26"/>
      <c r="AF850" s="26"/>
      <c r="AG850" s="26"/>
      <c r="AH850" s="26"/>
    </row>
    <row r="851" spans="1:34" ht="15.75" customHeight="1">
      <c r="A851" s="26"/>
      <c r="B851" s="26"/>
      <c r="C851" s="26"/>
      <c r="D851" s="26"/>
      <c r="E851" s="26"/>
      <c r="F851" s="26"/>
      <c r="G851" s="26"/>
      <c r="H851" s="26"/>
      <c r="I851" s="26"/>
      <c r="J851" s="26"/>
      <c r="K851" s="56"/>
      <c r="L851" s="26"/>
      <c r="M851" s="26"/>
      <c r="N851" s="26"/>
      <c r="O851" s="26"/>
      <c r="P851" s="26"/>
      <c r="Q851" s="26"/>
      <c r="R851" s="26"/>
      <c r="S851" s="26"/>
      <c r="T851" s="26"/>
      <c r="U851" s="26"/>
      <c r="V851" s="26"/>
      <c r="W851" s="26"/>
      <c r="X851" s="26"/>
      <c r="Y851" s="26"/>
      <c r="Z851" s="26"/>
      <c r="AA851" s="26"/>
      <c r="AB851" s="26"/>
      <c r="AC851" s="26"/>
      <c r="AD851" s="26"/>
      <c r="AE851" s="26"/>
      <c r="AF851" s="26"/>
      <c r="AG851" s="26"/>
      <c r="AH851" s="26"/>
    </row>
    <row r="852" spans="1:34" ht="15.75" customHeight="1">
      <c r="A852" s="26"/>
      <c r="B852" s="26"/>
      <c r="C852" s="26"/>
      <c r="D852" s="26"/>
      <c r="E852" s="26"/>
      <c r="F852" s="26"/>
      <c r="G852" s="26"/>
      <c r="H852" s="26"/>
      <c r="I852" s="26"/>
      <c r="J852" s="26"/>
      <c r="K852" s="56"/>
      <c r="L852" s="26"/>
      <c r="M852" s="26"/>
      <c r="N852" s="26"/>
      <c r="O852" s="26"/>
      <c r="P852" s="26"/>
      <c r="Q852" s="26"/>
      <c r="R852" s="26"/>
      <c r="S852" s="26"/>
      <c r="T852" s="26"/>
      <c r="U852" s="26"/>
      <c r="V852" s="26"/>
      <c r="W852" s="26"/>
      <c r="X852" s="26"/>
      <c r="Y852" s="26"/>
      <c r="Z852" s="26"/>
      <c r="AA852" s="26"/>
      <c r="AB852" s="26"/>
      <c r="AC852" s="26"/>
      <c r="AD852" s="26"/>
      <c r="AE852" s="26"/>
      <c r="AF852" s="26"/>
      <c r="AG852" s="26"/>
      <c r="AH852" s="26"/>
    </row>
    <row r="853" spans="1:34" ht="15.75" customHeight="1">
      <c r="A853" s="26"/>
      <c r="B853" s="26"/>
      <c r="C853" s="26"/>
      <c r="D853" s="26"/>
      <c r="E853" s="26"/>
      <c r="F853" s="26"/>
      <c r="G853" s="26"/>
      <c r="H853" s="26"/>
      <c r="I853" s="26"/>
      <c r="J853" s="26"/>
      <c r="K853" s="56"/>
      <c r="L853" s="26"/>
      <c r="M853" s="26"/>
      <c r="N853" s="26"/>
      <c r="O853" s="26"/>
      <c r="P853" s="26"/>
      <c r="Q853" s="26"/>
      <c r="R853" s="26"/>
      <c r="S853" s="26"/>
      <c r="T853" s="26"/>
      <c r="U853" s="26"/>
      <c r="V853" s="26"/>
      <c r="W853" s="26"/>
      <c r="X853" s="26"/>
      <c r="Y853" s="26"/>
      <c r="Z853" s="26"/>
      <c r="AA853" s="26"/>
      <c r="AB853" s="26"/>
      <c r="AC853" s="26"/>
      <c r="AD853" s="26"/>
      <c r="AE853" s="26"/>
      <c r="AF853" s="26"/>
      <c r="AG853" s="26"/>
      <c r="AH853" s="26"/>
    </row>
    <row r="854" spans="1:34" ht="15.75" customHeight="1">
      <c r="A854" s="26"/>
      <c r="B854" s="26"/>
      <c r="C854" s="26"/>
      <c r="D854" s="26"/>
      <c r="E854" s="26"/>
      <c r="F854" s="26"/>
      <c r="G854" s="26"/>
      <c r="H854" s="26"/>
      <c r="I854" s="26"/>
      <c r="J854" s="26"/>
      <c r="K854" s="56"/>
      <c r="L854" s="26"/>
      <c r="M854" s="26"/>
      <c r="N854" s="26"/>
      <c r="O854" s="26"/>
      <c r="P854" s="26"/>
      <c r="Q854" s="26"/>
      <c r="R854" s="26"/>
      <c r="S854" s="26"/>
      <c r="T854" s="26"/>
      <c r="U854" s="26"/>
      <c r="V854" s="26"/>
      <c r="W854" s="26"/>
      <c r="X854" s="26"/>
      <c r="Y854" s="26"/>
      <c r="Z854" s="26"/>
      <c r="AA854" s="26"/>
      <c r="AB854" s="26"/>
      <c r="AC854" s="26"/>
      <c r="AD854" s="26"/>
      <c r="AE854" s="26"/>
      <c r="AF854" s="26"/>
      <c r="AG854" s="26"/>
      <c r="AH854" s="26"/>
    </row>
    <row r="855" spans="1:34" ht="15.75" customHeight="1">
      <c r="A855" s="26"/>
      <c r="B855" s="26"/>
      <c r="C855" s="26"/>
      <c r="D855" s="26"/>
      <c r="E855" s="26"/>
      <c r="F855" s="26"/>
      <c r="G855" s="26"/>
      <c r="H855" s="26"/>
      <c r="I855" s="26"/>
      <c r="J855" s="26"/>
      <c r="K855" s="56"/>
      <c r="L855" s="26"/>
      <c r="M855" s="26"/>
      <c r="N855" s="26"/>
      <c r="O855" s="26"/>
      <c r="P855" s="26"/>
      <c r="Q855" s="26"/>
      <c r="R855" s="26"/>
      <c r="S855" s="26"/>
      <c r="T855" s="26"/>
      <c r="U855" s="26"/>
      <c r="V855" s="26"/>
      <c r="W855" s="26"/>
      <c r="X855" s="26"/>
      <c r="Y855" s="26"/>
      <c r="Z855" s="26"/>
      <c r="AA855" s="26"/>
      <c r="AB855" s="26"/>
      <c r="AC855" s="26"/>
      <c r="AD855" s="26"/>
      <c r="AE855" s="26"/>
      <c r="AF855" s="26"/>
      <c r="AG855" s="26"/>
      <c r="AH855" s="26"/>
    </row>
    <row r="856" spans="1:34" ht="15.75" customHeight="1">
      <c r="A856" s="26"/>
      <c r="B856" s="26"/>
      <c r="C856" s="26"/>
      <c r="D856" s="26"/>
      <c r="E856" s="26"/>
      <c r="F856" s="26"/>
      <c r="G856" s="26"/>
      <c r="H856" s="26"/>
      <c r="I856" s="26"/>
      <c r="J856" s="26"/>
      <c r="K856" s="56"/>
      <c r="L856" s="26"/>
      <c r="M856" s="26"/>
      <c r="N856" s="26"/>
      <c r="O856" s="26"/>
      <c r="P856" s="26"/>
      <c r="Q856" s="26"/>
      <c r="R856" s="26"/>
      <c r="S856" s="26"/>
      <c r="T856" s="26"/>
      <c r="U856" s="26"/>
      <c r="V856" s="26"/>
      <c r="W856" s="26"/>
      <c r="X856" s="26"/>
      <c r="Y856" s="26"/>
      <c r="Z856" s="26"/>
      <c r="AA856" s="26"/>
      <c r="AB856" s="26"/>
      <c r="AC856" s="26"/>
      <c r="AD856" s="26"/>
      <c r="AE856" s="26"/>
      <c r="AF856" s="26"/>
      <c r="AG856" s="26"/>
      <c r="AH856" s="26"/>
    </row>
    <row r="857" spans="1:34" ht="15.75" customHeight="1">
      <c r="A857" s="26"/>
      <c r="B857" s="26"/>
      <c r="C857" s="26"/>
      <c r="D857" s="26"/>
      <c r="E857" s="26"/>
      <c r="F857" s="26"/>
      <c r="G857" s="26"/>
      <c r="H857" s="26"/>
      <c r="I857" s="26"/>
      <c r="J857" s="26"/>
      <c r="K857" s="56"/>
      <c r="L857" s="26"/>
      <c r="M857" s="26"/>
      <c r="N857" s="26"/>
      <c r="O857" s="26"/>
      <c r="P857" s="26"/>
      <c r="Q857" s="26"/>
      <c r="R857" s="26"/>
      <c r="S857" s="26"/>
      <c r="T857" s="26"/>
      <c r="U857" s="26"/>
      <c r="V857" s="26"/>
      <c r="W857" s="26"/>
      <c r="X857" s="26"/>
      <c r="Y857" s="26"/>
      <c r="Z857" s="26"/>
      <c r="AA857" s="26"/>
      <c r="AB857" s="26"/>
      <c r="AC857" s="26"/>
      <c r="AD857" s="26"/>
      <c r="AE857" s="26"/>
      <c r="AF857" s="26"/>
      <c r="AG857" s="26"/>
      <c r="AH857" s="26"/>
    </row>
    <row r="858" spans="1:34" ht="15.75" customHeight="1">
      <c r="A858" s="26"/>
      <c r="B858" s="26"/>
      <c r="C858" s="26"/>
      <c r="D858" s="26"/>
      <c r="E858" s="26"/>
      <c r="F858" s="26"/>
      <c r="G858" s="26"/>
      <c r="H858" s="26"/>
      <c r="I858" s="26"/>
      <c r="J858" s="26"/>
      <c r="K858" s="56"/>
      <c r="L858" s="26"/>
      <c r="M858" s="26"/>
      <c r="N858" s="26"/>
      <c r="O858" s="26"/>
      <c r="P858" s="26"/>
      <c r="Q858" s="26"/>
      <c r="R858" s="26"/>
      <c r="S858" s="26"/>
      <c r="T858" s="26"/>
      <c r="U858" s="26"/>
      <c r="V858" s="26"/>
      <c r="W858" s="26"/>
      <c r="X858" s="26"/>
      <c r="Y858" s="26"/>
      <c r="Z858" s="26"/>
      <c r="AA858" s="26"/>
      <c r="AB858" s="26"/>
      <c r="AC858" s="26"/>
      <c r="AD858" s="26"/>
      <c r="AE858" s="26"/>
      <c r="AF858" s="26"/>
      <c r="AG858" s="26"/>
      <c r="AH858" s="26"/>
    </row>
    <row r="859" spans="1:34" ht="15.75" customHeight="1">
      <c r="A859" s="26"/>
      <c r="B859" s="26"/>
      <c r="C859" s="26"/>
      <c r="D859" s="26"/>
      <c r="E859" s="26"/>
      <c r="F859" s="26"/>
      <c r="G859" s="26"/>
      <c r="H859" s="26"/>
      <c r="I859" s="26"/>
      <c r="J859" s="26"/>
      <c r="K859" s="56"/>
      <c r="L859" s="26"/>
      <c r="M859" s="26"/>
      <c r="N859" s="26"/>
      <c r="O859" s="26"/>
      <c r="P859" s="26"/>
      <c r="Q859" s="26"/>
      <c r="R859" s="26"/>
      <c r="S859" s="26"/>
      <c r="T859" s="26"/>
      <c r="U859" s="26"/>
      <c r="V859" s="26"/>
      <c r="W859" s="26"/>
      <c r="X859" s="26"/>
      <c r="Y859" s="26"/>
      <c r="Z859" s="26"/>
      <c r="AA859" s="26"/>
      <c r="AB859" s="26"/>
      <c r="AC859" s="26"/>
      <c r="AD859" s="26"/>
      <c r="AE859" s="26"/>
      <c r="AF859" s="26"/>
      <c r="AG859" s="26"/>
      <c r="AH859" s="26"/>
    </row>
    <row r="860" spans="1:34" ht="15.75" customHeight="1">
      <c r="A860" s="26"/>
      <c r="B860" s="26"/>
      <c r="C860" s="26"/>
      <c r="D860" s="26"/>
      <c r="E860" s="26"/>
      <c r="F860" s="26"/>
      <c r="G860" s="26"/>
      <c r="H860" s="26"/>
      <c r="I860" s="26"/>
      <c r="J860" s="26"/>
      <c r="K860" s="56"/>
      <c r="L860" s="26"/>
      <c r="M860" s="26"/>
      <c r="N860" s="26"/>
      <c r="O860" s="26"/>
      <c r="P860" s="26"/>
      <c r="Q860" s="26"/>
      <c r="R860" s="26"/>
      <c r="S860" s="26"/>
      <c r="T860" s="26"/>
      <c r="U860" s="26"/>
      <c r="V860" s="26"/>
      <c r="W860" s="26"/>
      <c r="X860" s="26"/>
      <c r="Y860" s="26"/>
      <c r="Z860" s="26"/>
      <c r="AA860" s="26"/>
      <c r="AB860" s="26"/>
      <c r="AC860" s="26"/>
      <c r="AD860" s="26"/>
      <c r="AE860" s="26"/>
      <c r="AF860" s="26"/>
      <c r="AG860" s="26"/>
      <c r="AH860" s="26"/>
    </row>
    <row r="861" spans="1:34" ht="15.75" customHeight="1">
      <c r="A861" s="26"/>
      <c r="B861" s="26"/>
      <c r="C861" s="26"/>
      <c r="D861" s="26"/>
      <c r="E861" s="26"/>
      <c r="F861" s="26"/>
      <c r="G861" s="26"/>
      <c r="H861" s="26"/>
      <c r="I861" s="26"/>
      <c r="J861" s="26"/>
      <c r="K861" s="56"/>
      <c r="L861" s="26"/>
      <c r="M861" s="26"/>
      <c r="N861" s="26"/>
      <c r="O861" s="26"/>
      <c r="P861" s="26"/>
      <c r="Q861" s="26"/>
      <c r="R861" s="26"/>
      <c r="S861" s="26"/>
      <c r="T861" s="26"/>
      <c r="U861" s="26"/>
      <c r="V861" s="26"/>
      <c r="W861" s="26"/>
      <c r="X861" s="26"/>
      <c r="Y861" s="26"/>
      <c r="Z861" s="26"/>
      <c r="AA861" s="26"/>
      <c r="AB861" s="26"/>
      <c r="AC861" s="26"/>
      <c r="AD861" s="26"/>
      <c r="AE861" s="26"/>
      <c r="AF861" s="26"/>
      <c r="AG861" s="26"/>
      <c r="AH861" s="26"/>
    </row>
    <row r="862" spans="1:34" ht="15.75" customHeight="1">
      <c r="A862" s="26"/>
      <c r="B862" s="26"/>
      <c r="C862" s="26"/>
      <c r="D862" s="26"/>
      <c r="E862" s="26"/>
      <c r="F862" s="26"/>
      <c r="G862" s="26"/>
      <c r="H862" s="26"/>
      <c r="I862" s="26"/>
      <c r="J862" s="26"/>
      <c r="K862" s="56"/>
      <c r="L862" s="26"/>
      <c r="M862" s="26"/>
      <c r="N862" s="26"/>
      <c r="O862" s="26"/>
      <c r="P862" s="26"/>
      <c r="Q862" s="26"/>
      <c r="R862" s="26"/>
      <c r="S862" s="26"/>
      <c r="T862" s="26"/>
      <c r="U862" s="26"/>
      <c r="V862" s="26"/>
      <c r="W862" s="26"/>
      <c r="X862" s="26"/>
      <c r="Y862" s="26"/>
      <c r="Z862" s="26"/>
      <c r="AA862" s="26"/>
      <c r="AB862" s="26"/>
      <c r="AC862" s="26"/>
      <c r="AD862" s="26"/>
      <c r="AE862" s="26"/>
      <c r="AF862" s="26"/>
      <c r="AG862" s="26"/>
      <c r="AH862" s="26"/>
    </row>
    <row r="863" spans="1:34" ht="15.75" customHeight="1">
      <c r="A863" s="26"/>
      <c r="B863" s="26"/>
      <c r="C863" s="26"/>
      <c r="D863" s="26"/>
      <c r="E863" s="26"/>
      <c r="F863" s="26"/>
      <c r="G863" s="26"/>
      <c r="H863" s="26"/>
      <c r="I863" s="26"/>
      <c r="J863" s="26"/>
      <c r="K863" s="56"/>
      <c r="L863" s="26"/>
      <c r="M863" s="26"/>
      <c r="N863" s="26"/>
      <c r="O863" s="26"/>
      <c r="P863" s="26"/>
      <c r="Q863" s="26"/>
      <c r="R863" s="26"/>
      <c r="S863" s="26"/>
      <c r="T863" s="26"/>
      <c r="U863" s="26"/>
      <c r="V863" s="26"/>
      <c r="W863" s="26"/>
      <c r="X863" s="26"/>
      <c r="Y863" s="26"/>
      <c r="Z863" s="26"/>
      <c r="AA863" s="26"/>
      <c r="AB863" s="26"/>
      <c r="AC863" s="26"/>
      <c r="AD863" s="26"/>
      <c r="AE863" s="26"/>
      <c r="AF863" s="26"/>
      <c r="AG863" s="26"/>
      <c r="AH863" s="26"/>
    </row>
    <row r="864" spans="1:34" ht="15.75" customHeight="1">
      <c r="A864" s="26"/>
      <c r="B864" s="26"/>
      <c r="C864" s="26"/>
      <c r="D864" s="26"/>
      <c r="E864" s="26"/>
      <c r="F864" s="26"/>
      <c r="G864" s="26"/>
      <c r="H864" s="26"/>
      <c r="I864" s="26"/>
      <c r="J864" s="26"/>
      <c r="K864" s="56"/>
      <c r="L864" s="26"/>
      <c r="M864" s="26"/>
      <c r="N864" s="26"/>
      <c r="O864" s="26"/>
      <c r="P864" s="26"/>
      <c r="Q864" s="26"/>
      <c r="R864" s="26"/>
      <c r="S864" s="26"/>
      <c r="T864" s="26"/>
      <c r="U864" s="26"/>
      <c r="V864" s="26"/>
      <c r="W864" s="26"/>
      <c r="X864" s="26"/>
      <c r="Y864" s="26"/>
      <c r="Z864" s="26"/>
      <c r="AA864" s="26"/>
      <c r="AB864" s="26"/>
      <c r="AC864" s="26"/>
      <c r="AD864" s="26"/>
      <c r="AE864" s="26"/>
      <c r="AF864" s="26"/>
      <c r="AG864" s="26"/>
      <c r="AH864" s="26"/>
    </row>
    <row r="865" spans="1:34" ht="15.75" customHeight="1">
      <c r="A865" s="26"/>
      <c r="B865" s="26"/>
      <c r="C865" s="26"/>
      <c r="D865" s="26"/>
      <c r="E865" s="26"/>
      <c r="F865" s="26"/>
      <c r="G865" s="26"/>
      <c r="H865" s="26"/>
      <c r="I865" s="26"/>
      <c r="J865" s="26"/>
      <c r="K865" s="56"/>
      <c r="L865" s="26"/>
      <c r="M865" s="26"/>
      <c r="N865" s="26"/>
      <c r="O865" s="26"/>
      <c r="P865" s="26"/>
      <c r="Q865" s="26"/>
      <c r="R865" s="26"/>
      <c r="S865" s="26"/>
      <c r="T865" s="26"/>
      <c r="U865" s="26"/>
      <c r="V865" s="26"/>
      <c r="W865" s="26"/>
      <c r="X865" s="26"/>
      <c r="Y865" s="26"/>
      <c r="Z865" s="26"/>
      <c r="AA865" s="26"/>
      <c r="AB865" s="26"/>
      <c r="AC865" s="26"/>
      <c r="AD865" s="26"/>
      <c r="AE865" s="26"/>
      <c r="AF865" s="26"/>
      <c r="AG865" s="26"/>
      <c r="AH865" s="26"/>
    </row>
    <row r="866" spans="1:34" ht="15.75" customHeight="1">
      <c r="A866" s="26"/>
      <c r="B866" s="26"/>
      <c r="C866" s="26"/>
      <c r="D866" s="26"/>
      <c r="E866" s="26"/>
      <c r="F866" s="26"/>
      <c r="G866" s="26"/>
      <c r="H866" s="26"/>
      <c r="I866" s="26"/>
      <c r="J866" s="26"/>
      <c r="K866" s="56"/>
      <c r="L866" s="26"/>
      <c r="M866" s="26"/>
      <c r="N866" s="26"/>
      <c r="O866" s="26"/>
      <c r="P866" s="26"/>
      <c r="Q866" s="26"/>
      <c r="R866" s="26"/>
      <c r="S866" s="26"/>
      <c r="T866" s="26"/>
      <c r="U866" s="26"/>
      <c r="V866" s="26"/>
      <c r="W866" s="26"/>
      <c r="X866" s="26"/>
      <c r="Y866" s="26"/>
      <c r="Z866" s="26"/>
      <c r="AA866" s="26"/>
      <c r="AB866" s="26"/>
      <c r="AC866" s="26"/>
      <c r="AD866" s="26"/>
      <c r="AE866" s="26"/>
      <c r="AF866" s="26"/>
      <c r="AG866" s="26"/>
      <c r="AH866" s="26"/>
    </row>
    <row r="867" spans="1:34" ht="15.75" customHeight="1">
      <c r="A867" s="26"/>
      <c r="B867" s="26"/>
      <c r="C867" s="26"/>
      <c r="D867" s="26"/>
      <c r="E867" s="26"/>
      <c r="F867" s="26"/>
      <c r="G867" s="26"/>
      <c r="H867" s="26"/>
      <c r="I867" s="26"/>
      <c r="J867" s="26"/>
      <c r="K867" s="56"/>
      <c r="L867" s="26"/>
      <c r="M867" s="26"/>
      <c r="N867" s="26"/>
      <c r="O867" s="26"/>
      <c r="P867" s="26"/>
      <c r="Q867" s="26"/>
      <c r="R867" s="26"/>
      <c r="S867" s="26"/>
      <c r="T867" s="26"/>
      <c r="U867" s="26"/>
      <c r="V867" s="26"/>
      <c r="W867" s="26"/>
      <c r="X867" s="26"/>
      <c r="Y867" s="26"/>
      <c r="Z867" s="26"/>
      <c r="AA867" s="26"/>
      <c r="AB867" s="26"/>
      <c r="AC867" s="26"/>
      <c r="AD867" s="26"/>
      <c r="AE867" s="26"/>
      <c r="AF867" s="26"/>
      <c r="AG867" s="26"/>
      <c r="AH867" s="26"/>
    </row>
    <row r="868" spans="1:34" ht="15.75" customHeight="1">
      <c r="A868" s="26"/>
      <c r="B868" s="26"/>
      <c r="C868" s="26"/>
      <c r="D868" s="26"/>
      <c r="E868" s="26"/>
      <c r="F868" s="26"/>
      <c r="G868" s="26"/>
      <c r="H868" s="26"/>
      <c r="I868" s="26"/>
      <c r="J868" s="26"/>
      <c r="K868" s="56"/>
      <c r="L868" s="26"/>
      <c r="M868" s="26"/>
      <c r="N868" s="26"/>
      <c r="O868" s="26"/>
      <c r="P868" s="26"/>
      <c r="Q868" s="26"/>
      <c r="R868" s="26"/>
      <c r="S868" s="26"/>
      <c r="T868" s="26"/>
      <c r="U868" s="26"/>
      <c r="V868" s="26"/>
      <c r="W868" s="26"/>
      <c r="X868" s="26"/>
      <c r="Y868" s="26"/>
      <c r="Z868" s="26"/>
      <c r="AA868" s="26"/>
      <c r="AB868" s="26"/>
      <c r="AC868" s="26"/>
      <c r="AD868" s="26"/>
      <c r="AE868" s="26"/>
      <c r="AF868" s="26"/>
      <c r="AG868" s="26"/>
      <c r="AH868" s="26"/>
    </row>
    <row r="869" spans="1:34" ht="15.75" customHeight="1">
      <c r="A869" s="26"/>
      <c r="B869" s="26"/>
      <c r="C869" s="26"/>
      <c r="D869" s="26"/>
      <c r="E869" s="26"/>
      <c r="F869" s="26"/>
      <c r="G869" s="26"/>
      <c r="H869" s="26"/>
      <c r="I869" s="26"/>
      <c r="J869" s="26"/>
      <c r="K869" s="56"/>
      <c r="L869" s="26"/>
      <c r="M869" s="26"/>
      <c r="N869" s="26"/>
      <c r="O869" s="26"/>
      <c r="P869" s="26"/>
      <c r="Q869" s="26"/>
      <c r="R869" s="26"/>
      <c r="S869" s="26"/>
      <c r="T869" s="26"/>
      <c r="U869" s="26"/>
      <c r="V869" s="26"/>
      <c r="W869" s="26"/>
      <c r="X869" s="26"/>
      <c r="Y869" s="26"/>
      <c r="Z869" s="26"/>
      <c r="AA869" s="26"/>
      <c r="AB869" s="26"/>
      <c r="AC869" s="26"/>
      <c r="AD869" s="26"/>
      <c r="AE869" s="26"/>
      <c r="AF869" s="26"/>
      <c r="AG869" s="26"/>
      <c r="AH869" s="26"/>
    </row>
    <row r="870" spans="1:34" ht="15.75" customHeight="1">
      <c r="A870" s="26"/>
      <c r="B870" s="26"/>
      <c r="C870" s="26"/>
      <c r="D870" s="26"/>
      <c r="E870" s="26"/>
      <c r="F870" s="26"/>
      <c r="G870" s="26"/>
      <c r="H870" s="26"/>
      <c r="I870" s="26"/>
      <c r="J870" s="26"/>
      <c r="K870" s="56"/>
      <c r="L870" s="26"/>
      <c r="M870" s="26"/>
      <c r="N870" s="26"/>
      <c r="O870" s="26"/>
      <c r="P870" s="26"/>
      <c r="Q870" s="26"/>
      <c r="R870" s="26"/>
      <c r="S870" s="26"/>
      <c r="T870" s="26"/>
      <c r="U870" s="26"/>
      <c r="V870" s="26"/>
      <c r="W870" s="26"/>
      <c r="X870" s="26"/>
      <c r="Y870" s="26"/>
      <c r="Z870" s="26"/>
      <c r="AA870" s="26"/>
      <c r="AB870" s="26"/>
      <c r="AC870" s="26"/>
      <c r="AD870" s="26"/>
      <c r="AE870" s="26"/>
      <c r="AF870" s="26"/>
      <c r="AG870" s="26"/>
      <c r="AH870" s="26"/>
    </row>
    <row r="871" spans="1:34" ht="15.75" customHeight="1">
      <c r="A871" s="26"/>
      <c r="B871" s="26"/>
      <c r="C871" s="26"/>
      <c r="D871" s="26"/>
      <c r="E871" s="26"/>
      <c r="F871" s="26"/>
      <c r="G871" s="26"/>
      <c r="H871" s="26"/>
      <c r="I871" s="26"/>
      <c r="J871" s="26"/>
      <c r="K871" s="56"/>
      <c r="L871" s="26"/>
      <c r="M871" s="26"/>
      <c r="N871" s="26"/>
      <c r="O871" s="26"/>
      <c r="P871" s="26"/>
      <c r="Q871" s="26"/>
      <c r="R871" s="26"/>
      <c r="S871" s="26"/>
      <c r="T871" s="26"/>
      <c r="U871" s="26"/>
      <c r="V871" s="26"/>
      <c r="W871" s="26"/>
      <c r="X871" s="26"/>
      <c r="Y871" s="26"/>
      <c r="Z871" s="26"/>
      <c r="AA871" s="26"/>
      <c r="AB871" s="26"/>
      <c r="AC871" s="26"/>
      <c r="AD871" s="26"/>
      <c r="AE871" s="26"/>
      <c r="AF871" s="26"/>
      <c r="AG871" s="26"/>
      <c r="AH871" s="26"/>
    </row>
    <row r="872" spans="1:34" ht="15.75" customHeight="1">
      <c r="A872" s="26"/>
      <c r="B872" s="26"/>
      <c r="C872" s="26"/>
      <c r="D872" s="26"/>
      <c r="E872" s="26"/>
      <c r="F872" s="26"/>
      <c r="G872" s="26"/>
      <c r="H872" s="26"/>
      <c r="I872" s="26"/>
      <c r="J872" s="26"/>
      <c r="K872" s="56"/>
      <c r="L872" s="26"/>
      <c r="M872" s="26"/>
      <c r="N872" s="26"/>
      <c r="O872" s="26"/>
      <c r="P872" s="26"/>
      <c r="Q872" s="26"/>
      <c r="R872" s="26"/>
      <c r="S872" s="26"/>
      <c r="T872" s="26"/>
      <c r="U872" s="26"/>
      <c r="V872" s="26"/>
      <c r="W872" s="26"/>
      <c r="X872" s="26"/>
      <c r="Y872" s="26"/>
      <c r="Z872" s="26"/>
      <c r="AA872" s="26"/>
      <c r="AB872" s="26"/>
      <c r="AC872" s="26"/>
      <c r="AD872" s="26"/>
      <c r="AE872" s="26"/>
      <c r="AF872" s="26"/>
      <c r="AG872" s="26"/>
      <c r="AH872" s="26"/>
    </row>
    <row r="873" spans="1:34" ht="15.75" customHeight="1">
      <c r="A873" s="26"/>
      <c r="B873" s="26"/>
      <c r="C873" s="26"/>
      <c r="D873" s="26"/>
      <c r="E873" s="26"/>
      <c r="F873" s="26"/>
      <c r="G873" s="26"/>
      <c r="H873" s="26"/>
      <c r="I873" s="26"/>
      <c r="J873" s="26"/>
      <c r="K873" s="56"/>
      <c r="L873" s="26"/>
      <c r="M873" s="26"/>
      <c r="N873" s="26"/>
      <c r="O873" s="26"/>
      <c r="P873" s="26"/>
      <c r="Q873" s="26"/>
      <c r="R873" s="26"/>
      <c r="S873" s="26"/>
      <c r="T873" s="26"/>
      <c r="U873" s="26"/>
      <c r="V873" s="26"/>
      <c r="W873" s="26"/>
      <c r="X873" s="26"/>
      <c r="Y873" s="26"/>
      <c r="Z873" s="26"/>
      <c r="AA873" s="26"/>
      <c r="AB873" s="26"/>
      <c r="AC873" s="26"/>
      <c r="AD873" s="26"/>
      <c r="AE873" s="26"/>
      <c r="AF873" s="26"/>
      <c r="AG873" s="26"/>
      <c r="AH873" s="26"/>
    </row>
    <row r="874" spans="1:34" ht="15.75" customHeight="1">
      <c r="A874" s="26"/>
      <c r="B874" s="26"/>
      <c r="C874" s="26"/>
      <c r="D874" s="26"/>
      <c r="E874" s="26"/>
      <c r="F874" s="26"/>
      <c r="G874" s="26"/>
      <c r="H874" s="26"/>
      <c r="I874" s="26"/>
      <c r="J874" s="26"/>
      <c r="K874" s="56"/>
      <c r="L874" s="26"/>
      <c r="M874" s="26"/>
      <c r="N874" s="26"/>
      <c r="O874" s="26"/>
      <c r="P874" s="26"/>
      <c r="Q874" s="26"/>
      <c r="R874" s="26"/>
      <c r="S874" s="26"/>
      <c r="T874" s="26"/>
      <c r="U874" s="26"/>
      <c r="V874" s="26"/>
      <c r="W874" s="26"/>
      <c r="X874" s="26"/>
      <c r="Y874" s="26"/>
      <c r="Z874" s="26"/>
      <c r="AA874" s="26"/>
      <c r="AB874" s="26"/>
      <c r="AC874" s="26"/>
      <c r="AD874" s="26"/>
      <c r="AE874" s="26"/>
      <c r="AF874" s="26"/>
      <c r="AG874" s="26"/>
      <c r="AH874" s="26"/>
    </row>
    <row r="875" spans="1:34" ht="15.75" customHeight="1">
      <c r="A875" s="26"/>
      <c r="B875" s="26"/>
      <c r="C875" s="26"/>
      <c r="D875" s="26"/>
      <c r="E875" s="26"/>
      <c r="F875" s="26"/>
      <c r="G875" s="26"/>
      <c r="H875" s="26"/>
      <c r="I875" s="26"/>
      <c r="J875" s="26"/>
      <c r="K875" s="56"/>
      <c r="L875" s="26"/>
      <c r="M875" s="26"/>
      <c r="N875" s="26"/>
      <c r="O875" s="26"/>
      <c r="P875" s="26"/>
      <c r="Q875" s="26"/>
      <c r="R875" s="26"/>
      <c r="S875" s="26"/>
      <c r="T875" s="26"/>
      <c r="U875" s="26"/>
      <c r="V875" s="26"/>
      <c r="W875" s="26"/>
      <c r="X875" s="26"/>
      <c r="Y875" s="26"/>
      <c r="Z875" s="26"/>
      <c r="AA875" s="26"/>
      <c r="AB875" s="26"/>
      <c r="AC875" s="26"/>
      <c r="AD875" s="26"/>
      <c r="AE875" s="26"/>
      <c r="AF875" s="26"/>
      <c r="AG875" s="26"/>
      <c r="AH875" s="26"/>
    </row>
    <row r="876" spans="1:34" ht="15.75" customHeight="1">
      <c r="A876" s="26"/>
      <c r="B876" s="26"/>
      <c r="C876" s="26"/>
      <c r="D876" s="26"/>
      <c r="E876" s="26"/>
      <c r="F876" s="26"/>
      <c r="G876" s="26"/>
      <c r="H876" s="26"/>
      <c r="I876" s="26"/>
      <c r="J876" s="26"/>
      <c r="K876" s="56"/>
      <c r="L876" s="26"/>
      <c r="M876" s="26"/>
      <c r="N876" s="26"/>
      <c r="O876" s="26"/>
      <c r="P876" s="26"/>
      <c r="Q876" s="26"/>
      <c r="R876" s="26"/>
      <c r="S876" s="26"/>
      <c r="T876" s="26"/>
      <c r="U876" s="26"/>
      <c r="V876" s="26"/>
      <c r="W876" s="26"/>
      <c r="X876" s="26"/>
      <c r="Y876" s="26"/>
      <c r="Z876" s="26"/>
      <c r="AA876" s="26"/>
      <c r="AB876" s="26"/>
      <c r="AC876" s="26"/>
      <c r="AD876" s="26"/>
      <c r="AE876" s="26"/>
      <c r="AF876" s="26"/>
      <c r="AG876" s="26"/>
      <c r="AH876" s="26"/>
    </row>
    <row r="877" spans="1:34" ht="15.75" customHeight="1">
      <c r="A877" s="26"/>
      <c r="B877" s="26"/>
      <c r="C877" s="26"/>
      <c r="D877" s="26"/>
      <c r="E877" s="26"/>
      <c r="F877" s="26"/>
      <c r="G877" s="26"/>
      <c r="H877" s="26"/>
      <c r="I877" s="26"/>
      <c r="J877" s="26"/>
      <c r="K877" s="56"/>
      <c r="L877" s="26"/>
      <c r="M877" s="26"/>
      <c r="N877" s="26"/>
      <c r="O877" s="26"/>
      <c r="P877" s="26"/>
      <c r="Q877" s="26"/>
      <c r="R877" s="26"/>
      <c r="S877" s="26"/>
      <c r="T877" s="26"/>
      <c r="U877" s="26"/>
      <c r="V877" s="26"/>
      <c r="W877" s="26"/>
      <c r="X877" s="26"/>
      <c r="Y877" s="26"/>
      <c r="Z877" s="26"/>
      <c r="AA877" s="26"/>
      <c r="AB877" s="26"/>
      <c r="AC877" s="26"/>
      <c r="AD877" s="26"/>
      <c r="AE877" s="26"/>
      <c r="AF877" s="26"/>
      <c r="AG877" s="26"/>
      <c r="AH877" s="26"/>
    </row>
    <row r="878" spans="1:34" ht="15.75" customHeight="1">
      <c r="A878" s="26"/>
      <c r="B878" s="26"/>
      <c r="C878" s="26"/>
      <c r="D878" s="26"/>
      <c r="E878" s="26"/>
      <c r="F878" s="26"/>
      <c r="G878" s="26"/>
      <c r="H878" s="26"/>
      <c r="I878" s="26"/>
      <c r="J878" s="26"/>
      <c r="K878" s="56"/>
      <c r="L878" s="26"/>
      <c r="M878" s="26"/>
      <c r="N878" s="26"/>
      <c r="O878" s="26"/>
      <c r="P878" s="26"/>
      <c r="Q878" s="26"/>
      <c r="R878" s="26"/>
      <c r="S878" s="26"/>
      <c r="T878" s="26"/>
      <c r="U878" s="26"/>
      <c r="V878" s="26"/>
      <c r="W878" s="26"/>
      <c r="X878" s="26"/>
      <c r="Y878" s="26"/>
      <c r="Z878" s="26"/>
      <c r="AA878" s="26"/>
      <c r="AB878" s="26"/>
      <c r="AC878" s="26"/>
      <c r="AD878" s="26"/>
      <c r="AE878" s="26"/>
      <c r="AF878" s="26"/>
      <c r="AG878" s="26"/>
      <c r="AH878" s="26"/>
    </row>
    <row r="879" spans="1:34" ht="15.75" customHeight="1">
      <c r="A879" s="26"/>
      <c r="B879" s="26"/>
      <c r="C879" s="26"/>
      <c r="D879" s="26"/>
      <c r="E879" s="26"/>
      <c r="F879" s="26"/>
      <c r="G879" s="26"/>
      <c r="H879" s="26"/>
      <c r="I879" s="26"/>
      <c r="J879" s="26"/>
      <c r="K879" s="56"/>
      <c r="L879" s="26"/>
      <c r="M879" s="26"/>
      <c r="N879" s="26"/>
      <c r="O879" s="26"/>
      <c r="P879" s="26"/>
      <c r="Q879" s="26"/>
      <c r="R879" s="26"/>
      <c r="S879" s="26"/>
      <c r="T879" s="26"/>
      <c r="U879" s="26"/>
      <c r="V879" s="26"/>
      <c r="W879" s="26"/>
      <c r="X879" s="26"/>
      <c r="Y879" s="26"/>
      <c r="Z879" s="26"/>
      <c r="AA879" s="26"/>
      <c r="AB879" s="26"/>
      <c r="AC879" s="26"/>
      <c r="AD879" s="26"/>
      <c r="AE879" s="26"/>
      <c r="AF879" s="26"/>
      <c r="AG879" s="26"/>
      <c r="AH879" s="26"/>
    </row>
    <row r="880" spans="1:34" ht="15.75" customHeight="1">
      <c r="A880" s="26"/>
      <c r="B880" s="26"/>
      <c r="C880" s="26"/>
      <c r="D880" s="26"/>
      <c r="E880" s="26"/>
      <c r="F880" s="26"/>
      <c r="G880" s="26"/>
      <c r="H880" s="26"/>
      <c r="I880" s="26"/>
      <c r="J880" s="26"/>
      <c r="K880" s="56"/>
      <c r="L880" s="26"/>
      <c r="M880" s="26"/>
      <c r="N880" s="26"/>
      <c r="O880" s="26"/>
      <c r="P880" s="26"/>
      <c r="Q880" s="26"/>
      <c r="R880" s="26"/>
      <c r="S880" s="26"/>
      <c r="T880" s="26"/>
      <c r="U880" s="26"/>
      <c r="V880" s="26"/>
      <c r="W880" s="26"/>
      <c r="X880" s="26"/>
      <c r="Y880" s="26"/>
      <c r="Z880" s="26"/>
      <c r="AA880" s="26"/>
      <c r="AB880" s="26"/>
      <c r="AC880" s="26"/>
      <c r="AD880" s="26"/>
      <c r="AE880" s="26"/>
      <c r="AF880" s="26"/>
      <c r="AG880" s="26"/>
      <c r="AH880" s="26"/>
    </row>
    <row r="881" spans="1:34" ht="15.75" customHeight="1">
      <c r="A881" s="26"/>
      <c r="B881" s="26"/>
      <c r="C881" s="26"/>
      <c r="D881" s="26"/>
      <c r="E881" s="26"/>
      <c r="F881" s="26"/>
      <c r="G881" s="26"/>
      <c r="H881" s="26"/>
      <c r="I881" s="26"/>
      <c r="J881" s="26"/>
      <c r="K881" s="56"/>
      <c r="L881" s="26"/>
      <c r="M881" s="26"/>
      <c r="N881" s="26"/>
      <c r="O881" s="26"/>
      <c r="P881" s="26"/>
      <c r="Q881" s="26"/>
      <c r="R881" s="26"/>
      <c r="S881" s="26"/>
      <c r="T881" s="26"/>
      <c r="U881" s="26"/>
      <c r="V881" s="26"/>
      <c r="W881" s="26"/>
      <c r="X881" s="26"/>
      <c r="Y881" s="26"/>
      <c r="Z881" s="26"/>
      <c r="AA881" s="26"/>
      <c r="AB881" s="26"/>
      <c r="AC881" s="26"/>
      <c r="AD881" s="26"/>
      <c r="AE881" s="26"/>
      <c r="AF881" s="26"/>
      <c r="AG881" s="26"/>
      <c r="AH881" s="26"/>
    </row>
    <row r="882" spans="1:34" ht="15.75" customHeight="1">
      <c r="A882" s="26"/>
      <c r="B882" s="26"/>
      <c r="C882" s="26"/>
      <c r="D882" s="26"/>
      <c r="E882" s="26"/>
      <c r="F882" s="26"/>
      <c r="G882" s="26"/>
      <c r="H882" s="26"/>
      <c r="I882" s="26"/>
      <c r="J882" s="26"/>
      <c r="K882" s="56"/>
      <c r="L882" s="26"/>
      <c r="M882" s="26"/>
      <c r="N882" s="26"/>
      <c r="O882" s="26"/>
      <c r="P882" s="26"/>
      <c r="Q882" s="26"/>
      <c r="R882" s="26"/>
      <c r="S882" s="26"/>
      <c r="T882" s="26"/>
      <c r="U882" s="26"/>
      <c r="V882" s="26"/>
      <c r="W882" s="26"/>
      <c r="X882" s="26"/>
      <c r="Y882" s="26"/>
      <c r="Z882" s="26"/>
      <c r="AA882" s="26"/>
      <c r="AB882" s="26"/>
      <c r="AC882" s="26"/>
      <c r="AD882" s="26"/>
      <c r="AE882" s="26"/>
      <c r="AF882" s="26"/>
      <c r="AG882" s="26"/>
      <c r="AH882" s="26"/>
    </row>
    <row r="883" spans="1:34" ht="15.75" customHeight="1">
      <c r="A883" s="26"/>
      <c r="B883" s="26"/>
      <c r="C883" s="26"/>
      <c r="D883" s="26"/>
      <c r="E883" s="26"/>
      <c r="F883" s="26"/>
      <c r="G883" s="26"/>
      <c r="H883" s="26"/>
      <c r="I883" s="26"/>
      <c r="J883" s="26"/>
      <c r="K883" s="56"/>
      <c r="L883" s="26"/>
      <c r="M883" s="26"/>
      <c r="N883" s="26"/>
      <c r="O883" s="26"/>
      <c r="P883" s="26"/>
      <c r="Q883" s="26"/>
      <c r="R883" s="26"/>
      <c r="S883" s="26"/>
      <c r="T883" s="26"/>
      <c r="U883" s="26"/>
      <c r="V883" s="26"/>
      <c r="W883" s="26"/>
      <c r="X883" s="26"/>
      <c r="Y883" s="26"/>
      <c r="Z883" s="26"/>
      <c r="AA883" s="26"/>
      <c r="AB883" s="26"/>
      <c r="AC883" s="26"/>
      <c r="AD883" s="26"/>
      <c r="AE883" s="26"/>
      <c r="AF883" s="26"/>
      <c r="AG883" s="26"/>
      <c r="AH883" s="26"/>
    </row>
    <row r="884" spans="1:34" ht="15.75" customHeight="1">
      <c r="A884" s="26"/>
      <c r="B884" s="26"/>
      <c r="C884" s="26"/>
      <c r="D884" s="26"/>
      <c r="E884" s="26"/>
      <c r="F884" s="26"/>
      <c r="G884" s="26"/>
      <c r="H884" s="26"/>
      <c r="I884" s="26"/>
      <c r="J884" s="26"/>
      <c r="K884" s="56"/>
      <c r="L884" s="26"/>
      <c r="M884" s="26"/>
      <c r="N884" s="26"/>
      <c r="O884" s="26"/>
      <c r="P884" s="26"/>
      <c r="Q884" s="26"/>
      <c r="R884" s="26"/>
      <c r="S884" s="26"/>
      <c r="T884" s="26"/>
      <c r="U884" s="26"/>
      <c r="V884" s="26"/>
      <c r="W884" s="26"/>
      <c r="X884" s="26"/>
      <c r="Y884" s="26"/>
      <c r="Z884" s="26"/>
      <c r="AA884" s="26"/>
      <c r="AB884" s="26"/>
      <c r="AC884" s="26"/>
      <c r="AD884" s="26"/>
      <c r="AE884" s="26"/>
      <c r="AF884" s="26"/>
      <c r="AG884" s="26"/>
      <c r="AH884" s="26"/>
    </row>
    <row r="885" spans="1:34" ht="15.75" customHeight="1">
      <c r="A885" s="26"/>
      <c r="B885" s="26"/>
      <c r="C885" s="26"/>
      <c r="D885" s="26"/>
      <c r="E885" s="26"/>
      <c r="F885" s="26"/>
      <c r="G885" s="26"/>
      <c r="H885" s="26"/>
      <c r="I885" s="26"/>
      <c r="J885" s="26"/>
      <c r="K885" s="56"/>
      <c r="L885" s="26"/>
      <c r="M885" s="26"/>
      <c r="N885" s="26"/>
      <c r="O885" s="26"/>
      <c r="P885" s="26"/>
      <c r="Q885" s="26"/>
      <c r="R885" s="26"/>
      <c r="S885" s="26"/>
      <c r="T885" s="26"/>
      <c r="U885" s="26"/>
      <c r="V885" s="26"/>
      <c r="W885" s="26"/>
      <c r="X885" s="26"/>
      <c r="Y885" s="26"/>
      <c r="Z885" s="26"/>
      <c r="AA885" s="26"/>
      <c r="AB885" s="26"/>
      <c r="AC885" s="26"/>
      <c r="AD885" s="26"/>
      <c r="AE885" s="26"/>
      <c r="AF885" s="26"/>
      <c r="AG885" s="26"/>
      <c r="AH885" s="26"/>
    </row>
    <row r="886" spans="1:34" ht="15.75" customHeight="1">
      <c r="A886" s="26"/>
      <c r="B886" s="26"/>
      <c r="C886" s="26"/>
      <c r="D886" s="26"/>
      <c r="E886" s="26"/>
      <c r="F886" s="26"/>
      <c r="G886" s="26"/>
      <c r="H886" s="26"/>
      <c r="I886" s="26"/>
      <c r="J886" s="26"/>
      <c r="K886" s="56"/>
      <c r="L886" s="26"/>
      <c r="M886" s="26"/>
      <c r="N886" s="26"/>
      <c r="O886" s="26"/>
      <c r="P886" s="26"/>
      <c r="Q886" s="26"/>
      <c r="R886" s="26"/>
      <c r="S886" s="26"/>
      <c r="T886" s="26"/>
      <c r="U886" s="26"/>
      <c r="V886" s="26"/>
      <c r="W886" s="26"/>
      <c r="X886" s="26"/>
      <c r="Y886" s="26"/>
      <c r="Z886" s="26"/>
      <c r="AA886" s="26"/>
      <c r="AB886" s="26"/>
      <c r="AC886" s="26"/>
      <c r="AD886" s="26"/>
      <c r="AE886" s="26"/>
      <c r="AF886" s="26"/>
      <c r="AG886" s="26"/>
      <c r="AH886" s="26"/>
    </row>
    <row r="887" spans="1:34" ht="15.75" customHeight="1">
      <c r="A887" s="26"/>
      <c r="B887" s="26"/>
      <c r="C887" s="26"/>
      <c r="D887" s="26"/>
      <c r="E887" s="26"/>
      <c r="F887" s="26"/>
      <c r="G887" s="26"/>
      <c r="H887" s="26"/>
      <c r="I887" s="26"/>
      <c r="J887" s="26"/>
      <c r="K887" s="56"/>
      <c r="L887" s="26"/>
      <c r="M887" s="26"/>
      <c r="N887" s="26"/>
      <c r="O887" s="26"/>
      <c r="P887" s="26"/>
      <c r="Q887" s="26"/>
      <c r="R887" s="26"/>
      <c r="S887" s="26"/>
      <c r="T887" s="26"/>
      <c r="U887" s="26"/>
      <c r="V887" s="26"/>
      <c r="W887" s="26"/>
      <c r="X887" s="26"/>
      <c r="Y887" s="26"/>
      <c r="Z887" s="26"/>
      <c r="AA887" s="26"/>
      <c r="AB887" s="26"/>
      <c r="AC887" s="26"/>
      <c r="AD887" s="26"/>
      <c r="AE887" s="26"/>
      <c r="AF887" s="26"/>
      <c r="AG887" s="26"/>
      <c r="AH887" s="26"/>
    </row>
    <row r="888" spans="1:34" ht="15.75" customHeight="1">
      <c r="A888" s="26"/>
      <c r="B888" s="26"/>
      <c r="C888" s="26"/>
      <c r="D888" s="26"/>
      <c r="E888" s="26"/>
      <c r="F888" s="26"/>
      <c r="G888" s="26"/>
      <c r="H888" s="26"/>
      <c r="I888" s="26"/>
      <c r="J888" s="26"/>
      <c r="K888" s="56"/>
      <c r="L888" s="26"/>
      <c r="M888" s="26"/>
      <c r="N888" s="26"/>
      <c r="O888" s="26"/>
      <c r="P888" s="26"/>
      <c r="Q888" s="26"/>
      <c r="R888" s="26"/>
      <c r="S888" s="26"/>
      <c r="T888" s="26"/>
      <c r="U888" s="26"/>
      <c r="V888" s="26"/>
      <c r="W888" s="26"/>
      <c r="X888" s="26"/>
      <c r="Y888" s="26"/>
      <c r="Z888" s="26"/>
      <c r="AA888" s="26"/>
      <c r="AB888" s="26"/>
      <c r="AC888" s="26"/>
      <c r="AD888" s="26"/>
      <c r="AE888" s="26"/>
      <c r="AF888" s="26"/>
      <c r="AG888" s="26"/>
      <c r="AH888" s="26"/>
    </row>
    <row r="889" spans="1:34" ht="15.75" customHeight="1">
      <c r="A889" s="26"/>
      <c r="B889" s="26"/>
      <c r="C889" s="26"/>
      <c r="D889" s="26"/>
      <c r="E889" s="26"/>
      <c r="F889" s="26"/>
      <c r="G889" s="26"/>
      <c r="H889" s="26"/>
      <c r="I889" s="26"/>
      <c r="J889" s="26"/>
      <c r="K889" s="56"/>
      <c r="L889" s="26"/>
      <c r="M889" s="26"/>
      <c r="N889" s="26"/>
      <c r="O889" s="26"/>
      <c r="P889" s="26"/>
      <c r="Q889" s="26"/>
      <c r="R889" s="26"/>
      <c r="S889" s="26"/>
      <c r="T889" s="26"/>
      <c r="U889" s="26"/>
      <c r="V889" s="26"/>
      <c r="W889" s="26"/>
      <c r="X889" s="26"/>
      <c r="Y889" s="26"/>
      <c r="Z889" s="26"/>
      <c r="AA889" s="26"/>
      <c r="AB889" s="26"/>
      <c r="AC889" s="26"/>
      <c r="AD889" s="26"/>
      <c r="AE889" s="26"/>
      <c r="AF889" s="26"/>
      <c r="AG889" s="26"/>
      <c r="AH889" s="26"/>
    </row>
    <row r="890" spans="1:34" ht="15.75" customHeight="1">
      <c r="A890" s="26"/>
      <c r="B890" s="26"/>
      <c r="C890" s="26"/>
      <c r="D890" s="26"/>
      <c r="E890" s="26"/>
      <c r="F890" s="26"/>
      <c r="G890" s="26"/>
      <c r="H890" s="26"/>
      <c r="I890" s="26"/>
      <c r="J890" s="26"/>
      <c r="K890" s="56"/>
      <c r="L890" s="26"/>
      <c r="M890" s="26"/>
      <c r="N890" s="26"/>
      <c r="O890" s="26"/>
      <c r="P890" s="26"/>
      <c r="Q890" s="26"/>
      <c r="R890" s="26"/>
      <c r="S890" s="26"/>
      <c r="T890" s="26"/>
      <c r="U890" s="26"/>
      <c r="V890" s="26"/>
      <c r="W890" s="26"/>
      <c r="X890" s="26"/>
      <c r="Y890" s="26"/>
      <c r="Z890" s="26"/>
      <c r="AA890" s="26"/>
      <c r="AB890" s="26"/>
      <c r="AC890" s="26"/>
      <c r="AD890" s="26"/>
      <c r="AE890" s="26"/>
      <c r="AF890" s="26"/>
      <c r="AG890" s="26"/>
      <c r="AH890" s="26"/>
    </row>
    <row r="891" spans="1:34" ht="15.75" customHeight="1">
      <c r="A891" s="26"/>
      <c r="B891" s="26"/>
      <c r="C891" s="26"/>
      <c r="D891" s="26"/>
      <c r="E891" s="26"/>
      <c r="F891" s="26"/>
      <c r="G891" s="26"/>
      <c r="H891" s="26"/>
      <c r="I891" s="26"/>
      <c r="J891" s="26"/>
      <c r="K891" s="56"/>
      <c r="L891" s="26"/>
      <c r="M891" s="26"/>
      <c r="N891" s="26"/>
      <c r="O891" s="26"/>
      <c r="P891" s="26"/>
      <c r="Q891" s="26"/>
      <c r="R891" s="26"/>
      <c r="S891" s="26"/>
      <c r="T891" s="26"/>
      <c r="U891" s="26"/>
      <c r="V891" s="26"/>
      <c r="W891" s="26"/>
      <c r="X891" s="26"/>
      <c r="Y891" s="26"/>
      <c r="Z891" s="26"/>
      <c r="AA891" s="26"/>
      <c r="AB891" s="26"/>
      <c r="AC891" s="26"/>
      <c r="AD891" s="26"/>
      <c r="AE891" s="26"/>
      <c r="AF891" s="26"/>
      <c r="AG891" s="26"/>
      <c r="AH891" s="26"/>
    </row>
    <row r="892" spans="1:34" ht="15.75" customHeight="1">
      <c r="A892" s="26"/>
      <c r="B892" s="26"/>
      <c r="C892" s="26"/>
      <c r="D892" s="26"/>
      <c r="E892" s="26"/>
      <c r="F892" s="26"/>
      <c r="G892" s="26"/>
      <c r="H892" s="26"/>
      <c r="I892" s="26"/>
      <c r="J892" s="26"/>
      <c r="K892" s="56"/>
      <c r="L892" s="26"/>
      <c r="M892" s="26"/>
      <c r="N892" s="26"/>
      <c r="O892" s="26"/>
      <c r="P892" s="26"/>
      <c r="Q892" s="26"/>
      <c r="R892" s="26"/>
      <c r="S892" s="26"/>
      <c r="T892" s="26"/>
      <c r="U892" s="26"/>
      <c r="V892" s="26"/>
      <c r="W892" s="26"/>
      <c r="X892" s="26"/>
      <c r="Y892" s="26"/>
      <c r="Z892" s="26"/>
      <c r="AA892" s="26"/>
      <c r="AB892" s="26"/>
      <c r="AC892" s="26"/>
      <c r="AD892" s="26"/>
      <c r="AE892" s="26"/>
      <c r="AF892" s="26"/>
      <c r="AG892" s="26"/>
      <c r="AH892" s="26"/>
    </row>
    <row r="893" spans="1:34" ht="15.75" customHeight="1">
      <c r="A893" s="26"/>
      <c r="B893" s="26"/>
      <c r="C893" s="26"/>
      <c r="D893" s="26"/>
      <c r="E893" s="26"/>
      <c r="F893" s="26"/>
      <c r="G893" s="26"/>
      <c r="H893" s="26"/>
      <c r="I893" s="26"/>
      <c r="J893" s="26"/>
      <c r="K893" s="56"/>
      <c r="L893" s="26"/>
      <c r="M893" s="26"/>
      <c r="N893" s="26"/>
      <c r="O893" s="26"/>
      <c r="P893" s="26"/>
      <c r="Q893" s="26"/>
      <c r="R893" s="26"/>
      <c r="S893" s="26"/>
      <c r="T893" s="26"/>
      <c r="U893" s="26"/>
      <c r="V893" s="26"/>
      <c r="W893" s="26"/>
      <c r="X893" s="26"/>
      <c r="Y893" s="26"/>
      <c r="Z893" s="26"/>
      <c r="AA893" s="26"/>
      <c r="AB893" s="26"/>
      <c r="AC893" s="26"/>
      <c r="AD893" s="26"/>
      <c r="AE893" s="26"/>
      <c r="AF893" s="26"/>
      <c r="AG893" s="26"/>
      <c r="AH893" s="26"/>
    </row>
    <row r="894" spans="1:34" ht="15.75" customHeight="1">
      <c r="A894" s="26"/>
      <c r="B894" s="26"/>
      <c r="C894" s="26"/>
      <c r="D894" s="26"/>
      <c r="E894" s="26"/>
      <c r="F894" s="26"/>
      <c r="G894" s="26"/>
      <c r="H894" s="26"/>
      <c r="I894" s="26"/>
      <c r="J894" s="26"/>
      <c r="K894" s="56"/>
      <c r="L894" s="26"/>
      <c r="M894" s="26"/>
      <c r="N894" s="26"/>
      <c r="O894" s="26"/>
      <c r="P894" s="26"/>
      <c r="Q894" s="26"/>
      <c r="R894" s="26"/>
      <c r="S894" s="26"/>
      <c r="T894" s="26"/>
      <c r="U894" s="26"/>
      <c r="V894" s="26"/>
      <c r="W894" s="26"/>
      <c r="X894" s="26"/>
      <c r="Y894" s="26"/>
      <c r="Z894" s="26"/>
      <c r="AA894" s="26"/>
      <c r="AB894" s="26"/>
      <c r="AC894" s="26"/>
      <c r="AD894" s="26"/>
      <c r="AE894" s="26"/>
      <c r="AF894" s="26"/>
      <c r="AG894" s="26"/>
      <c r="AH894" s="26"/>
    </row>
    <row r="895" spans="1:34" ht="15.75" customHeight="1">
      <c r="A895" s="26"/>
      <c r="B895" s="26"/>
      <c r="C895" s="26"/>
      <c r="D895" s="26"/>
      <c r="E895" s="26"/>
      <c r="F895" s="26"/>
      <c r="G895" s="26"/>
      <c r="H895" s="26"/>
      <c r="I895" s="26"/>
      <c r="J895" s="26"/>
      <c r="K895" s="56"/>
      <c r="L895" s="26"/>
      <c r="M895" s="26"/>
      <c r="N895" s="26"/>
      <c r="O895" s="26"/>
      <c r="P895" s="26"/>
      <c r="Q895" s="26"/>
      <c r="R895" s="26"/>
      <c r="S895" s="26"/>
      <c r="T895" s="26"/>
      <c r="U895" s="26"/>
      <c r="V895" s="26"/>
      <c r="W895" s="26"/>
      <c r="X895" s="26"/>
      <c r="Y895" s="26"/>
      <c r="Z895" s="26"/>
      <c r="AA895" s="26"/>
      <c r="AB895" s="26"/>
      <c r="AC895" s="26"/>
      <c r="AD895" s="26"/>
      <c r="AE895" s="26"/>
      <c r="AF895" s="26"/>
      <c r="AG895" s="26"/>
      <c r="AH895" s="26"/>
    </row>
    <row r="896" spans="1:34" ht="15.75" customHeight="1">
      <c r="A896" s="26"/>
      <c r="B896" s="26"/>
      <c r="C896" s="26"/>
      <c r="D896" s="26"/>
      <c r="E896" s="26"/>
      <c r="F896" s="26"/>
      <c r="G896" s="26"/>
      <c r="H896" s="26"/>
      <c r="I896" s="26"/>
      <c r="J896" s="26"/>
      <c r="K896" s="56"/>
      <c r="L896" s="26"/>
      <c r="M896" s="26"/>
      <c r="N896" s="26"/>
      <c r="O896" s="26"/>
      <c r="P896" s="26"/>
      <c r="Q896" s="26"/>
      <c r="R896" s="26"/>
      <c r="S896" s="26"/>
      <c r="T896" s="26"/>
      <c r="U896" s="26"/>
      <c r="V896" s="26"/>
      <c r="W896" s="26"/>
      <c r="X896" s="26"/>
      <c r="Y896" s="26"/>
      <c r="Z896" s="26"/>
      <c r="AA896" s="26"/>
      <c r="AB896" s="26"/>
      <c r="AC896" s="26"/>
      <c r="AD896" s="26"/>
      <c r="AE896" s="26"/>
      <c r="AF896" s="26"/>
      <c r="AG896" s="26"/>
      <c r="AH896" s="26"/>
    </row>
    <row r="897" spans="1:34" ht="15.75" customHeight="1">
      <c r="A897" s="26"/>
      <c r="B897" s="26"/>
      <c r="C897" s="26"/>
      <c r="D897" s="26"/>
      <c r="E897" s="26"/>
      <c r="F897" s="26"/>
      <c r="G897" s="26"/>
      <c r="H897" s="26"/>
      <c r="I897" s="26"/>
      <c r="J897" s="26"/>
      <c r="K897" s="56"/>
      <c r="L897" s="26"/>
      <c r="M897" s="26"/>
      <c r="N897" s="26"/>
      <c r="O897" s="26"/>
      <c r="P897" s="26"/>
      <c r="Q897" s="26"/>
      <c r="R897" s="26"/>
      <c r="S897" s="26"/>
      <c r="T897" s="26"/>
      <c r="U897" s="26"/>
      <c r="V897" s="26"/>
      <c r="W897" s="26"/>
      <c r="X897" s="26"/>
      <c r="Y897" s="26"/>
      <c r="Z897" s="26"/>
      <c r="AA897" s="26"/>
      <c r="AB897" s="26"/>
      <c r="AC897" s="26"/>
      <c r="AD897" s="26"/>
      <c r="AE897" s="26"/>
      <c r="AF897" s="26"/>
      <c r="AG897" s="26"/>
      <c r="AH897" s="26"/>
    </row>
    <row r="898" spans="1:34" ht="15.75" customHeight="1">
      <c r="A898" s="26"/>
      <c r="B898" s="26"/>
      <c r="C898" s="26"/>
      <c r="D898" s="26"/>
      <c r="E898" s="26"/>
      <c r="F898" s="26"/>
      <c r="G898" s="26"/>
      <c r="H898" s="26"/>
      <c r="I898" s="26"/>
      <c r="J898" s="26"/>
      <c r="K898" s="56"/>
      <c r="L898" s="26"/>
      <c r="M898" s="26"/>
      <c r="N898" s="26"/>
      <c r="O898" s="26"/>
      <c r="P898" s="26"/>
      <c r="Q898" s="26"/>
      <c r="R898" s="26"/>
      <c r="S898" s="26"/>
      <c r="T898" s="26"/>
      <c r="U898" s="26"/>
      <c r="V898" s="26"/>
      <c r="W898" s="26"/>
      <c r="X898" s="26"/>
      <c r="Y898" s="26"/>
      <c r="Z898" s="26"/>
      <c r="AA898" s="26"/>
      <c r="AB898" s="26"/>
      <c r="AC898" s="26"/>
      <c r="AD898" s="26"/>
      <c r="AE898" s="26"/>
      <c r="AF898" s="26"/>
      <c r="AG898" s="26"/>
      <c r="AH898" s="26"/>
    </row>
    <row r="899" spans="1:34" ht="15.75" customHeight="1">
      <c r="A899" s="26"/>
      <c r="B899" s="26"/>
      <c r="C899" s="26"/>
      <c r="D899" s="26"/>
      <c r="E899" s="26"/>
      <c r="F899" s="26"/>
      <c r="G899" s="26"/>
      <c r="H899" s="26"/>
      <c r="I899" s="26"/>
      <c r="J899" s="26"/>
      <c r="K899" s="56"/>
      <c r="L899" s="26"/>
      <c r="M899" s="26"/>
      <c r="N899" s="26"/>
      <c r="O899" s="26"/>
      <c r="P899" s="26"/>
      <c r="Q899" s="26"/>
      <c r="R899" s="26"/>
      <c r="S899" s="26"/>
      <c r="T899" s="26"/>
      <c r="U899" s="26"/>
      <c r="V899" s="26"/>
      <c r="W899" s="26"/>
      <c r="X899" s="26"/>
      <c r="Y899" s="26"/>
      <c r="Z899" s="26"/>
      <c r="AA899" s="26"/>
      <c r="AB899" s="26"/>
      <c r="AC899" s="26"/>
      <c r="AD899" s="26"/>
      <c r="AE899" s="26"/>
      <c r="AF899" s="26"/>
      <c r="AG899" s="26"/>
      <c r="AH899" s="26"/>
    </row>
    <row r="900" spans="1:34" ht="15.75" customHeight="1">
      <c r="A900" s="26"/>
      <c r="B900" s="26"/>
      <c r="C900" s="26"/>
      <c r="D900" s="26"/>
      <c r="E900" s="26"/>
      <c r="F900" s="26"/>
      <c r="G900" s="26"/>
      <c r="H900" s="26"/>
      <c r="I900" s="26"/>
      <c r="J900" s="26"/>
      <c r="K900" s="56"/>
      <c r="L900" s="26"/>
      <c r="M900" s="26"/>
      <c r="N900" s="26"/>
      <c r="O900" s="26"/>
      <c r="P900" s="26"/>
      <c r="Q900" s="26"/>
      <c r="R900" s="26"/>
      <c r="S900" s="26"/>
      <c r="T900" s="26"/>
      <c r="U900" s="26"/>
      <c r="V900" s="26"/>
      <c r="W900" s="26"/>
      <c r="X900" s="26"/>
      <c r="Y900" s="26"/>
      <c r="Z900" s="26"/>
      <c r="AA900" s="26"/>
      <c r="AB900" s="26"/>
      <c r="AC900" s="26"/>
      <c r="AD900" s="26"/>
      <c r="AE900" s="26"/>
      <c r="AF900" s="26"/>
      <c r="AG900" s="26"/>
      <c r="AH900" s="26"/>
    </row>
    <row r="901" spans="1:34" ht="15.75" customHeight="1">
      <c r="A901" s="26"/>
      <c r="B901" s="26"/>
      <c r="C901" s="26"/>
      <c r="D901" s="26"/>
      <c r="E901" s="26"/>
      <c r="F901" s="26"/>
      <c r="G901" s="26"/>
      <c r="H901" s="26"/>
      <c r="I901" s="26"/>
      <c r="J901" s="26"/>
      <c r="K901" s="56"/>
      <c r="L901" s="26"/>
      <c r="M901" s="26"/>
      <c r="N901" s="26"/>
      <c r="O901" s="26"/>
      <c r="P901" s="26"/>
      <c r="Q901" s="26"/>
      <c r="R901" s="26"/>
      <c r="S901" s="26"/>
      <c r="T901" s="26"/>
      <c r="U901" s="26"/>
      <c r="V901" s="26"/>
      <c r="W901" s="26"/>
      <c r="X901" s="26"/>
      <c r="Y901" s="26"/>
      <c r="Z901" s="26"/>
      <c r="AA901" s="26"/>
      <c r="AB901" s="26"/>
      <c r="AC901" s="26"/>
      <c r="AD901" s="26"/>
      <c r="AE901" s="26"/>
      <c r="AF901" s="26"/>
      <c r="AG901" s="26"/>
      <c r="AH901" s="26"/>
    </row>
    <row r="902" spans="1:34" ht="15.75" customHeight="1">
      <c r="A902" s="26"/>
      <c r="B902" s="26"/>
      <c r="C902" s="26"/>
      <c r="D902" s="26"/>
      <c r="E902" s="26"/>
      <c r="F902" s="26"/>
      <c r="G902" s="26"/>
      <c r="H902" s="26"/>
      <c r="I902" s="26"/>
      <c r="J902" s="26"/>
      <c r="K902" s="56"/>
      <c r="L902" s="26"/>
      <c r="M902" s="26"/>
      <c r="N902" s="26"/>
      <c r="O902" s="26"/>
      <c r="P902" s="26"/>
      <c r="Q902" s="26"/>
      <c r="R902" s="26"/>
      <c r="S902" s="26"/>
      <c r="T902" s="26"/>
      <c r="U902" s="26"/>
      <c r="V902" s="26"/>
      <c r="W902" s="26"/>
      <c r="X902" s="26"/>
      <c r="Y902" s="26"/>
      <c r="Z902" s="26"/>
      <c r="AA902" s="26"/>
      <c r="AB902" s="26"/>
      <c r="AC902" s="26"/>
      <c r="AD902" s="26"/>
      <c r="AE902" s="26"/>
      <c r="AF902" s="26"/>
      <c r="AG902" s="26"/>
      <c r="AH902" s="26"/>
    </row>
    <row r="903" spans="1:34" ht="15.75" customHeight="1">
      <c r="A903" s="26"/>
      <c r="B903" s="26"/>
      <c r="C903" s="26"/>
      <c r="D903" s="26"/>
      <c r="E903" s="26"/>
      <c r="F903" s="26"/>
      <c r="G903" s="26"/>
      <c r="H903" s="26"/>
      <c r="I903" s="26"/>
      <c r="J903" s="26"/>
      <c r="K903" s="56"/>
      <c r="L903" s="26"/>
      <c r="M903" s="26"/>
      <c r="N903" s="26"/>
      <c r="O903" s="26"/>
      <c r="P903" s="26"/>
      <c r="Q903" s="26"/>
      <c r="R903" s="26"/>
      <c r="S903" s="26"/>
      <c r="T903" s="26"/>
      <c r="U903" s="26"/>
      <c r="V903" s="26"/>
      <c r="W903" s="26"/>
      <c r="X903" s="26"/>
      <c r="Y903" s="26"/>
      <c r="Z903" s="26"/>
      <c r="AA903" s="26"/>
      <c r="AB903" s="26"/>
      <c r="AC903" s="26"/>
      <c r="AD903" s="26"/>
      <c r="AE903" s="26"/>
      <c r="AF903" s="26"/>
      <c r="AG903" s="26"/>
      <c r="AH903" s="26"/>
    </row>
    <row r="904" spans="1:34" ht="15.75" customHeight="1">
      <c r="A904" s="26"/>
      <c r="B904" s="26"/>
      <c r="C904" s="26"/>
      <c r="D904" s="26"/>
      <c r="E904" s="26"/>
      <c r="F904" s="26"/>
      <c r="G904" s="26"/>
      <c r="H904" s="26"/>
      <c r="I904" s="26"/>
      <c r="J904" s="26"/>
      <c r="K904" s="56"/>
      <c r="L904" s="26"/>
      <c r="M904" s="26"/>
      <c r="N904" s="26"/>
      <c r="O904" s="26"/>
      <c r="P904" s="26"/>
      <c r="Q904" s="26"/>
      <c r="R904" s="26"/>
      <c r="S904" s="26"/>
      <c r="T904" s="26"/>
      <c r="U904" s="26"/>
      <c r="V904" s="26"/>
      <c r="W904" s="26"/>
      <c r="X904" s="26"/>
      <c r="Y904" s="26"/>
      <c r="Z904" s="26"/>
      <c r="AA904" s="26"/>
      <c r="AB904" s="26"/>
      <c r="AC904" s="26"/>
      <c r="AD904" s="26"/>
      <c r="AE904" s="26"/>
      <c r="AF904" s="26"/>
      <c r="AG904" s="26"/>
      <c r="AH904" s="26"/>
    </row>
    <row r="905" spans="1:34" ht="15.75" customHeight="1">
      <c r="A905" s="26"/>
      <c r="B905" s="26"/>
      <c r="C905" s="26"/>
      <c r="D905" s="26"/>
      <c r="E905" s="26"/>
      <c r="F905" s="26"/>
      <c r="G905" s="26"/>
      <c r="H905" s="26"/>
      <c r="I905" s="26"/>
      <c r="J905" s="26"/>
      <c r="K905" s="56"/>
      <c r="L905" s="26"/>
      <c r="M905" s="26"/>
      <c r="N905" s="26"/>
      <c r="O905" s="26"/>
      <c r="P905" s="26"/>
      <c r="Q905" s="26"/>
      <c r="R905" s="26"/>
      <c r="S905" s="26"/>
      <c r="T905" s="26"/>
      <c r="U905" s="26"/>
      <c r="V905" s="26"/>
      <c r="W905" s="26"/>
      <c r="X905" s="26"/>
      <c r="Y905" s="26"/>
      <c r="Z905" s="26"/>
      <c r="AA905" s="26"/>
      <c r="AB905" s="26"/>
      <c r="AC905" s="26"/>
      <c r="AD905" s="26"/>
      <c r="AE905" s="26"/>
      <c r="AF905" s="26"/>
      <c r="AG905" s="26"/>
      <c r="AH905" s="26"/>
    </row>
    <row r="906" spans="1:34" ht="15.75" customHeight="1">
      <c r="A906" s="26"/>
      <c r="B906" s="26"/>
      <c r="C906" s="26"/>
      <c r="D906" s="26"/>
      <c r="E906" s="26"/>
      <c r="F906" s="26"/>
      <c r="G906" s="26"/>
      <c r="H906" s="26"/>
      <c r="I906" s="26"/>
      <c r="J906" s="26"/>
      <c r="K906" s="56"/>
      <c r="L906" s="26"/>
      <c r="M906" s="26"/>
      <c r="N906" s="26"/>
      <c r="O906" s="26"/>
      <c r="P906" s="26"/>
      <c r="Q906" s="26"/>
      <c r="R906" s="26"/>
      <c r="S906" s="26"/>
      <c r="T906" s="26"/>
      <c r="U906" s="26"/>
      <c r="V906" s="26"/>
      <c r="W906" s="26"/>
      <c r="X906" s="26"/>
      <c r="Y906" s="26"/>
      <c r="Z906" s="26"/>
      <c r="AA906" s="26"/>
      <c r="AB906" s="26"/>
      <c r="AC906" s="26"/>
      <c r="AD906" s="26"/>
      <c r="AE906" s="26"/>
      <c r="AF906" s="26"/>
      <c r="AG906" s="26"/>
      <c r="AH906" s="26"/>
    </row>
    <row r="907" spans="1:34" ht="15.75" customHeight="1">
      <c r="A907" s="26"/>
      <c r="B907" s="26"/>
      <c r="C907" s="26"/>
      <c r="D907" s="26"/>
      <c r="E907" s="26"/>
      <c r="F907" s="26"/>
      <c r="G907" s="26"/>
      <c r="H907" s="26"/>
      <c r="I907" s="26"/>
      <c r="J907" s="26"/>
      <c r="K907" s="56"/>
      <c r="L907" s="26"/>
      <c r="M907" s="26"/>
      <c r="N907" s="26"/>
      <c r="O907" s="26"/>
      <c r="P907" s="26"/>
      <c r="Q907" s="26"/>
      <c r="R907" s="26"/>
      <c r="S907" s="26"/>
      <c r="T907" s="26"/>
      <c r="U907" s="26"/>
      <c r="V907" s="26"/>
      <c r="W907" s="26"/>
      <c r="X907" s="26"/>
      <c r="Y907" s="26"/>
      <c r="Z907" s="26"/>
      <c r="AA907" s="26"/>
      <c r="AB907" s="26"/>
      <c r="AC907" s="26"/>
      <c r="AD907" s="26"/>
      <c r="AE907" s="26"/>
      <c r="AF907" s="26"/>
      <c r="AG907" s="26"/>
      <c r="AH907" s="26"/>
    </row>
    <row r="908" spans="1:34" ht="15.75" customHeight="1">
      <c r="A908" s="26"/>
      <c r="B908" s="26"/>
      <c r="C908" s="26"/>
      <c r="D908" s="26"/>
      <c r="E908" s="26"/>
      <c r="F908" s="26"/>
      <c r="G908" s="26"/>
      <c r="H908" s="26"/>
      <c r="I908" s="26"/>
      <c r="J908" s="26"/>
      <c r="K908" s="56"/>
      <c r="L908" s="26"/>
      <c r="M908" s="26"/>
      <c r="N908" s="26"/>
      <c r="O908" s="26"/>
      <c r="P908" s="26"/>
      <c r="Q908" s="26"/>
      <c r="R908" s="26"/>
      <c r="S908" s="26"/>
      <c r="T908" s="26"/>
      <c r="U908" s="26"/>
      <c r="V908" s="26"/>
      <c r="W908" s="26"/>
      <c r="X908" s="26"/>
      <c r="Y908" s="26"/>
      <c r="Z908" s="26"/>
      <c r="AA908" s="26"/>
      <c r="AB908" s="26"/>
      <c r="AC908" s="26"/>
      <c r="AD908" s="26"/>
      <c r="AE908" s="26"/>
      <c r="AF908" s="26"/>
      <c r="AG908" s="26"/>
      <c r="AH908" s="26"/>
    </row>
    <row r="909" spans="1:34" ht="15.75" customHeight="1">
      <c r="A909" s="26"/>
      <c r="B909" s="26"/>
      <c r="C909" s="26"/>
      <c r="D909" s="26"/>
      <c r="E909" s="26"/>
      <c r="F909" s="26"/>
      <c r="G909" s="26"/>
      <c r="H909" s="26"/>
      <c r="I909" s="26"/>
      <c r="J909" s="26"/>
      <c r="K909" s="56"/>
      <c r="L909" s="26"/>
      <c r="M909" s="26"/>
      <c r="N909" s="26"/>
      <c r="O909" s="26"/>
      <c r="P909" s="26"/>
      <c r="Q909" s="26"/>
      <c r="R909" s="26"/>
      <c r="S909" s="26"/>
      <c r="T909" s="26"/>
      <c r="U909" s="26"/>
      <c r="V909" s="26"/>
      <c r="W909" s="26"/>
      <c r="X909" s="26"/>
      <c r="Y909" s="26"/>
      <c r="Z909" s="26"/>
      <c r="AA909" s="26"/>
      <c r="AB909" s="26"/>
      <c r="AC909" s="26"/>
      <c r="AD909" s="26"/>
      <c r="AE909" s="26"/>
      <c r="AF909" s="26"/>
      <c r="AG909" s="26"/>
      <c r="AH909" s="26"/>
    </row>
    <row r="910" spans="1:34" ht="15.75" customHeight="1">
      <c r="A910" s="26"/>
      <c r="B910" s="26"/>
      <c r="C910" s="26"/>
      <c r="D910" s="26"/>
      <c r="E910" s="26"/>
      <c r="F910" s="26"/>
      <c r="G910" s="26"/>
      <c r="H910" s="26"/>
      <c r="I910" s="26"/>
      <c r="J910" s="26"/>
      <c r="K910" s="56"/>
      <c r="L910" s="26"/>
      <c r="M910" s="26"/>
      <c r="N910" s="26"/>
      <c r="O910" s="26"/>
      <c r="P910" s="26"/>
      <c r="Q910" s="26"/>
      <c r="R910" s="26"/>
      <c r="S910" s="26"/>
      <c r="T910" s="26"/>
      <c r="U910" s="26"/>
      <c r="V910" s="26"/>
      <c r="W910" s="26"/>
      <c r="X910" s="26"/>
      <c r="Y910" s="26"/>
      <c r="Z910" s="26"/>
      <c r="AA910" s="26"/>
      <c r="AB910" s="26"/>
      <c r="AC910" s="26"/>
      <c r="AD910" s="26"/>
      <c r="AE910" s="26"/>
      <c r="AF910" s="26"/>
      <c r="AG910" s="26"/>
      <c r="AH910" s="26"/>
    </row>
    <row r="911" spans="1:34" ht="15.75" customHeight="1">
      <c r="A911" s="26"/>
      <c r="B911" s="26"/>
      <c r="C911" s="26"/>
      <c r="D911" s="26"/>
      <c r="E911" s="26"/>
      <c r="F911" s="26"/>
      <c r="G911" s="26"/>
      <c r="H911" s="26"/>
      <c r="I911" s="26"/>
      <c r="J911" s="26"/>
      <c r="K911" s="56"/>
      <c r="L911" s="26"/>
      <c r="M911" s="26"/>
      <c r="N911" s="26"/>
      <c r="O911" s="26"/>
      <c r="P911" s="26"/>
      <c r="Q911" s="26"/>
      <c r="R911" s="26"/>
      <c r="S911" s="26"/>
      <c r="T911" s="26"/>
      <c r="U911" s="26"/>
      <c r="V911" s="26"/>
      <c r="W911" s="26"/>
      <c r="X911" s="26"/>
      <c r="Y911" s="26"/>
      <c r="Z911" s="26"/>
      <c r="AA911" s="26"/>
      <c r="AB911" s="26"/>
      <c r="AC911" s="26"/>
      <c r="AD911" s="26"/>
      <c r="AE911" s="26"/>
      <c r="AF911" s="26"/>
      <c r="AG911" s="26"/>
      <c r="AH911" s="26"/>
    </row>
    <row r="912" spans="1:34" ht="15.75" customHeight="1">
      <c r="A912" s="26"/>
      <c r="B912" s="26"/>
      <c r="C912" s="26"/>
      <c r="D912" s="26"/>
      <c r="E912" s="26"/>
      <c r="F912" s="26"/>
      <c r="G912" s="26"/>
      <c r="H912" s="26"/>
      <c r="I912" s="26"/>
      <c r="J912" s="26"/>
      <c r="K912" s="56"/>
      <c r="L912" s="26"/>
      <c r="M912" s="26"/>
      <c r="N912" s="26"/>
      <c r="O912" s="26"/>
      <c r="P912" s="26"/>
      <c r="Q912" s="26"/>
      <c r="R912" s="26"/>
      <c r="S912" s="26"/>
      <c r="T912" s="26"/>
      <c r="U912" s="26"/>
      <c r="V912" s="26"/>
      <c r="W912" s="26"/>
      <c r="X912" s="26"/>
      <c r="Y912" s="26"/>
      <c r="Z912" s="26"/>
      <c r="AA912" s="26"/>
      <c r="AB912" s="26"/>
      <c r="AC912" s="26"/>
      <c r="AD912" s="26"/>
      <c r="AE912" s="26"/>
      <c r="AF912" s="26"/>
      <c r="AG912" s="26"/>
      <c r="AH912" s="26"/>
    </row>
    <row r="913" spans="1:34" ht="15.75" customHeight="1">
      <c r="A913" s="26"/>
      <c r="B913" s="26"/>
      <c r="C913" s="26"/>
      <c r="D913" s="26"/>
      <c r="E913" s="26"/>
      <c r="F913" s="26"/>
      <c r="G913" s="26"/>
      <c r="H913" s="26"/>
      <c r="I913" s="26"/>
      <c r="J913" s="26"/>
      <c r="K913" s="56"/>
      <c r="L913" s="26"/>
      <c r="M913" s="26"/>
      <c r="N913" s="26"/>
      <c r="O913" s="26"/>
      <c r="P913" s="26"/>
      <c r="Q913" s="26"/>
      <c r="R913" s="26"/>
      <c r="S913" s="26"/>
      <c r="T913" s="26"/>
      <c r="U913" s="26"/>
      <c r="V913" s="26"/>
      <c r="W913" s="26"/>
      <c r="X913" s="26"/>
      <c r="Y913" s="26"/>
      <c r="Z913" s="26"/>
      <c r="AA913" s="26"/>
      <c r="AB913" s="26"/>
      <c r="AC913" s="26"/>
      <c r="AD913" s="26"/>
      <c r="AE913" s="26"/>
      <c r="AF913" s="26"/>
      <c r="AG913" s="26"/>
      <c r="AH913" s="26"/>
    </row>
    <row r="914" spans="1:34" ht="15.75" customHeight="1">
      <c r="A914" s="26"/>
      <c r="B914" s="26"/>
      <c r="C914" s="26"/>
      <c r="D914" s="26"/>
      <c r="E914" s="26"/>
      <c r="F914" s="26"/>
      <c r="G914" s="26"/>
      <c r="H914" s="26"/>
      <c r="I914" s="26"/>
      <c r="J914" s="26"/>
      <c r="K914" s="56"/>
      <c r="L914" s="26"/>
      <c r="M914" s="26"/>
      <c r="N914" s="26"/>
      <c r="O914" s="26"/>
      <c r="P914" s="26"/>
      <c r="Q914" s="26"/>
      <c r="R914" s="26"/>
      <c r="S914" s="26"/>
      <c r="T914" s="26"/>
      <c r="U914" s="26"/>
      <c r="V914" s="26"/>
      <c r="W914" s="26"/>
      <c r="X914" s="26"/>
      <c r="Y914" s="26"/>
      <c r="Z914" s="26"/>
      <c r="AA914" s="26"/>
      <c r="AB914" s="26"/>
      <c r="AC914" s="26"/>
      <c r="AD914" s="26"/>
      <c r="AE914" s="26"/>
      <c r="AF914" s="26"/>
      <c r="AG914" s="26"/>
      <c r="AH914" s="26"/>
    </row>
    <row r="915" spans="1:34" ht="15.75" customHeight="1">
      <c r="A915" s="26"/>
      <c r="B915" s="26"/>
      <c r="C915" s="26"/>
      <c r="D915" s="26"/>
      <c r="E915" s="26"/>
      <c r="F915" s="26"/>
      <c r="G915" s="26"/>
      <c r="H915" s="26"/>
      <c r="I915" s="26"/>
      <c r="J915" s="26"/>
      <c r="K915" s="56"/>
      <c r="L915" s="26"/>
      <c r="M915" s="26"/>
      <c r="N915" s="26"/>
      <c r="O915" s="26"/>
      <c r="P915" s="26"/>
      <c r="Q915" s="26"/>
      <c r="R915" s="26"/>
      <c r="S915" s="26"/>
      <c r="T915" s="26"/>
      <c r="U915" s="26"/>
      <c r="V915" s="26"/>
      <c r="W915" s="26"/>
      <c r="X915" s="26"/>
      <c r="Y915" s="26"/>
      <c r="Z915" s="26"/>
      <c r="AA915" s="26"/>
      <c r="AB915" s="26"/>
      <c r="AC915" s="26"/>
      <c r="AD915" s="26"/>
      <c r="AE915" s="26"/>
      <c r="AF915" s="26"/>
      <c r="AG915" s="26"/>
      <c r="AH915" s="26"/>
    </row>
    <row r="916" spans="1:34" ht="15.75" customHeight="1">
      <c r="A916" s="26"/>
      <c r="B916" s="26"/>
      <c r="C916" s="26"/>
      <c r="D916" s="26"/>
      <c r="E916" s="26"/>
      <c r="F916" s="26"/>
      <c r="G916" s="26"/>
      <c r="H916" s="26"/>
      <c r="I916" s="26"/>
      <c r="J916" s="26"/>
      <c r="K916" s="56"/>
      <c r="L916" s="26"/>
      <c r="M916" s="26"/>
      <c r="N916" s="26"/>
      <c r="O916" s="26"/>
      <c r="P916" s="26"/>
      <c r="Q916" s="26"/>
      <c r="R916" s="26"/>
      <c r="S916" s="26"/>
      <c r="T916" s="26"/>
      <c r="U916" s="26"/>
      <c r="V916" s="26"/>
      <c r="W916" s="26"/>
      <c r="X916" s="26"/>
      <c r="Y916" s="26"/>
      <c r="Z916" s="26"/>
      <c r="AA916" s="26"/>
      <c r="AB916" s="26"/>
      <c r="AC916" s="26"/>
      <c r="AD916" s="26"/>
      <c r="AE916" s="26"/>
      <c r="AF916" s="26"/>
      <c r="AG916" s="26"/>
      <c r="AH916" s="26"/>
    </row>
    <row r="917" spans="1:34" ht="15.75" customHeight="1">
      <c r="A917" s="26"/>
      <c r="B917" s="26"/>
      <c r="C917" s="26"/>
      <c r="D917" s="26"/>
      <c r="E917" s="26"/>
      <c r="F917" s="26"/>
      <c r="G917" s="26"/>
      <c r="H917" s="26"/>
      <c r="I917" s="26"/>
      <c r="J917" s="26"/>
      <c r="K917" s="56"/>
      <c r="L917" s="26"/>
      <c r="M917" s="26"/>
      <c r="N917" s="26"/>
      <c r="O917" s="26"/>
      <c r="P917" s="26"/>
      <c r="Q917" s="26"/>
      <c r="R917" s="26"/>
      <c r="S917" s="26"/>
      <c r="T917" s="26"/>
      <c r="U917" s="26"/>
      <c r="V917" s="26"/>
      <c r="W917" s="26"/>
      <c r="X917" s="26"/>
      <c r="Y917" s="26"/>
      <c r="Z917" s="26"/>
      <c r="AA917" s="26"/>
      <c r="AB917" s="26"/>
      <c r="AC917" s="26"/>
      <c r="AD917" s="26"/>
      <c r="AE917" s="26"/>
      <c r="AF917" s="26"/>
      <c r="AG917" s="26"/>
      <c r="AH917" s="26"/>
    </row>
    <row r="918" spans="1:34" ht="15.75" customHeight="1">
      <c r="A918" s="26"/>
      <c r="B918" s="26"/>
      <c r="C918" s="26"/>
      <c r="D918" s="26"/>
      <c r="E918" s="26"/>
      <c r="F918" s="26"/>
      <c r="G918" s="26"/>
      <c r="H918" s="26"/>
      <c r="I918" s="26"/>
      <c r="J918" s="26"/>
      <c r="K918" s="56"/>
      <c r="L918" s="26"/>
      <c r="M918" s="26"/>
      <c r="N918" s="26"/>
      <c r="O918" s="26"/>
      <c r="P918" s="26"/>
      <c r="Q918" s="26"/>
      <c r="R918" s="26"/>
      <c r="S918" s="26"/>
      <c r="T918" s="26"/>
      <c r="U918" s="26"/>
      <c r="V918" s="26"/>
      <c r="W918" s="26"/>
      <c r="X918" s="26"/>
      <c r="Y918" s="26"/>
      <c r="Z918" s="26"/>
      <c r="AA918" s="26"/>
      <c r="AB918" s="26"/>
      <c r="AC918" s="26"/>
      <c r="AD918" s="26"/>
      <c r="AE918" s="26"/>
      <c r="AF918" s="26"/>
      <c r="AG918" s="26"/>
      <c r="AH918" s="26"/>
    </row>
    <row r="919" spans="1:34" ht="15.75" customHeight="1">
      <c r="A919" s="26"/>
      <c r="B919" s="26"/>
      <c r="C919" s="26"/>
      <c r="D919" s="26"/>
      <c r="E919" s="26"/>
      <c r="F919" s="26"/>
      <c r="G919" s="26"/>
      <c r="H919" s="26"/>
      <c r="I919" s="26"/>
      <c r="J919" s="26"/>
      <c r="K919" s="56"/>
      <c r="L919" s="26"/>
      <c r="M919" s="26"/>
      <c r="N919" s="26"/>
      <c r="O919" s="26"/>
      <c r="P919" s="26"/>
      <c r="Q919" s="26"/>
      <c r="R919" s="26"/>
      <c r="S919" s="26"/>
      <c r="T919" s="26"/>
      <c r="U919" s="26"/>
      <c r="V919" s="26"/>
      <c r="W919" s="26"/>
      <c r="X919" s="26"/>
      <c r="Y919" s="26"/>
      <c r="Z919" s="26"/>
      <c r="AA919" s="26"/>
      <c r="AB919" s="26"/>
      <c r="AC919" s="26"/>
      <c r="AD919" s="26"/>
      <c r="AE919" s="26"/>
      <c r="AF919" s="26"/>
      <c r="AG919" s="26"/>
      <c r="AH919" s="26"/>
    </row>
    <row r="920" spans="1:34" ht="15.75" customHeight="1">
      <c r="A920" s="26"/>
      <c r="B920" s="26"/>
      <c r="C920" s="26"/>
      <c r="D920" s="26"/>
      <c r="E920" s="26"/>
      <c r="F920" s="26"/>
      <c r="G920" s="26"/>
      <c r="H920" s="26"/>
      <c r="I920" s="26"/>
      <c r="J920" s="26"/>
      <c r="K920" s="56"/>
      <c r="L920" s="26"/>
      <c r="M920" s="26"/>
      <c r="N920" s="26"/>
      <c r="O920" s="26"/>
      <c r="P920" s="26"/>
      <c r="Q920" s="26"/>
      <c r="R920" s="26"/>
      <c r="S920" s="26"/>
      <c r="T920" s="26"/>
      <c r="U920" s="26"/>
      <c r="V920" s="26"/>
      <c r="W920" s="26"/>
      <c r="X920" s="26"/>
      <c r="Y920" s="26"/>
      <c r="Z920" s="26"/>
      <c r="AA920" s="26"/>
      <c r="AB920" s="26"/>
      <c r="AC920" s="26"/>
      <c r="AD920" s="26"/>
      <c r="AE920" s="26"/>
      <c r="AF920" s="26"/>
      <c r="AG920" s="26"/>
      <c r="AH920" s="26"/>
    </row>
    <row r="921" spans="1:34" ht="15.75" customHeight="1">
      <c r="A921" s="26"/>
      <c r="B921" s="26"/>
      <c r="C921" s="26"/>
      <c r="D921" s="26"/>
      <c r="E921" s="26"/>
      <c r="F921" s="26"/>
      <c r="G921" s="26"/>
      <c r="H921" s="26"/>
      <c r="I921" s="26"/>
      <c r="J921" s="26"/>
      <c r="K921" s="56"/>
      <c r="L921" s="26"/>
      <c r="M921" s="26"/>
      <c r="N921" s="26"/>
      <c r="O921" s="26"/>
      <c r="P921" s="26"/>
      <c r="Q921" s="26"/>
      <c r="R921" s="26"/>
      <c r="S921" s="26"/>
      <c r="T921" s="26"/>
      <c r="U921" s="26"/>
      <c r="V921" s="26"/>
      <c r="W921" s="26"/>
      <c r="X921" s="26"/>
      <c r="Y921" s="26"/>
      <c r="Z921" s="26"/>
      <c r="AA921" s="26"/>
      <c r="AB921" s="26"/>
      <c r="AC921" s="26"/>
      <c r="AD921" s="26"/>
      <c r="AE921" s="26"/>
      <c r="AF921" s="26"/>
      <c r="AG921" s="26"/>
      <c r="AH921" s="26"/>
    </row>
    <row r="922" spans="1:34" ht="15.75" customHeight="1">
      <c r="A922" s="26"/>
      <c r="B922" s="26"/>
      <c r="C922" s="26"/>
      <c r="D922" s="26"/>
      <c r="E922" s="26"/>
      <c r="F922" s="26"/>
      <c r="G922" s="26"/>
      <c r="H922" s="26"/>
      <c r="I922" s="26"/>
      <c r="J922" s="26"/>
      <c r="K922" s="56"/>
      <c r="L922" s="26"/>
      <c r="M922" s="26"/>
      <c r="N922" s="26"/>
      <c r="O922" s="26"/>
      <c r="P922" s="26"/>
      <c r="Q922" s="26"/>
      <c r="R922" s="26"/>
      <c r="S922" s="26"/>
      <c r="T922" s="26"/>
      <c r="U922" s="26"/>
      <c r="V922" s="26"/>
      <c r="W922" s="26"/>
      <c r="X922" s="26"/>
      <c r="Y922" s="26"/>
      <c r="Z922" s="26"/>
      <c r="AA922" s="26"/>
      <c r="AB922" s="26"/>
      <c r="AC922" s="26"/>
      <c r="AD922" s="26"/>
      <c r="AE922" s="26"/>
      <c r="AF922" s="26"/>
      <c r="AG922" s="26"/>
      <c r="AH922" s="26"/>
    </row>
    <row r="923" spans="1:34" ht="15.75" customHeight="1">
      <c r="A923" s="26"/>
      <c r="B923" s="26"/>
      <c r="C923" s="26"/>
      <c r="D923" s="26"/>
      <c r="E923" s="26"/>
      <c r="F923" s="26"/>
      <c r="G923" s="26"/>
      <c r="H923" s="26"/>
      <c r="I923" s="26"/>
      <c r="J923" s="26"/>
      <c r="K923" s="56"/>
      <c r="L923" s="26"/>
      <c r="M923" s="26"/>
      <c r="N923" s="26"/>
      <c r="O923" s="26"/>
      <c r="P923" s="26"/>
      <c r="Q923" s="26"/>
      <c r="R923" s="26"/>
      <c r="S923" s="26"/>
      <c r="T923" s="26"/>
      <c r="U923" s="26"/>
      <c r="V923" s="26"/>
      <c r="W923" s="26"/>
      <c r="X923" s="26"/>
      <c r="Y923" s="26"/>
      <c r="Z923" s="26"/>
      <c r="AA923" s="26"/>
      <c r="AB923" s="26"/>
      <c r="AC923" s="26"/>
      <c r="AD923" s="26"/>
      <c r="AE923" s="26"/>
      <c r="AF923" s="26"/>
      <c r="AG923" s="26"/>
      <c r="AH923" s="26"/>
    </row>
    <row r="924" spans="1:34" ht="15.75" customHeight="1">
      <c r="A924" s="26"/>
      <c r="B924" s="26"/>
      <c r="C924" s="26"/>
      <c r="D924" s="26"/>
      <c r="E924" s="26"/>
      <c r="F924" s="26"/>
      <c r="G924" s="26"/>
      <c r="H924" s="26"/>
      <c r="I924" s="26"/>
      <c r="J924" s="26"/>
      <c r="K924" s="56"/>
      <c r="L924" s="26"/>
      <c r="M924" s="26"/>
      <c r="N924" s="26"/>
      <c r="O924" s="26"/>
      <c r="P924" s="26"/>
      <c r="Q924" s="26"/>
      <c r="R924" s="26"/>
      <c r="S924" s="26"/>
      <c r="T924" s="26"/>
      <c r="U924" s="26"/>
      <c r="V924" s="26"/>
      <c r="W924" s="26"/>
      <c r="X924" s="26"/>
      <c r="Y924" s="26"/>
      <c r="Z924" s="26"/>
      <c r="AA924" s="26"/>
      <c r="AB924" s="26"/>
      <c r="AC924" s="26"/>
      <c r="AD924" s="26"/>
      <c r="AE924" s="26"/>
      <c r="AF924" s="26"/>
      <c r="AG924" s="26"/>
      <c r="AH924" s="26"/>
    </row>
    <row r="925" spans="1:34" ht="15.75" customHeight="1">
      <c r="A925" s="26"/>
      <c r="B925" s="26"/>
      <c r="C925" s="26"/>
      <c r="D925" s="26"/>
      <c r="E925" s="26"/>
      <c r="F925" s="26"/>
      <c r="G925" s="26"/>
      <c r="H925" s="26"/>
      <c r="I925" s="26"/>
      <c r="J925" s="26"/>
      <c r="K925" s="56"/>
      <c r="L925" s="26"/>
      <c r="M925" s="26"/>
      <c r="N925" s="26"/>
      <c r="O925" s="26"/>
      <c r="P925" s="26"/>
      <c r="Q925" s="26"/>
      <c r="R925" s="26"/>
      <c r="S925" s="26"/>
      <c r="T925" s="26"/>
      <c r="U925" s="26"/>
      <c r="V925" s="26"/>
      <c r="W925" s="26"/>
      <c r="X925" s="26"/>
      <c r="Y925" s="26"/>
      <c r="Z925" s="26"/>
      <c r="AA925" s="26"/>
      <c r="AB925" s="26"/>
      <c r="AC925" s="26"/>
      <c r="AD925" s="26"/>
      <c r="AE925" s="26"/>
      <c r="AF925" s="26"/>
      <c r="AG925" s="26"/>
      <c r="AH925" s="26"/>
    </row>
    <row r="926" spans="1:34" ht="15.75" customHeight="1">
      <c r="A926" s="26"/>
      <c r="B926" s="26"/>
      <c r="C926" s="26"/>
      <c r="D926" s="26"/>
      <c r="E926" s="26"/>
      <c r="F926" s="26"/>
      <c r="G926" s="26"/>
      <c r="H926" s="26"/>
      <c r="I926" s="26"/>
      <c r="J926" s="26"/>
      <c r="K926" s="56"/>
      <c r="L926" s="26"/>
      <c r="M926" s="26"/>
      <c r="N926" s="26"/>
      <c r="O926" s="26"/>
      <c r="P926" s="26"/>
      <c r="Q926" s="26"/>
      <c r="R926" s="26"/>
      <c r="S926" s="26"/>
      <c r="T926" s="26"/>
      <c r="U926" s="26"/>
      <c r="V926" s="26"/>
      <c r="W926" s="26"/>
      <c r="X926" s="26"/>
      <c r="Y926" s="26"/>
      <c r="Z926" s="26"/>
      <c r="AA926" s="26"/>
      <c r="AB926" s="26"/>
      <c r="AC926" s="26"/>
      <c r="AD926" s="26"/>
      <c r="AE926" s="26"/>
      <c r="AF926" s="26"/>
      <c r="AG926" s="26"/>
      <c r="AH926" s="26"/>
    </row>
    <row r="927" spans="1:34" ht="15.75" customHeight="1">
      <c r="A927" s="26"/>
      <c r="B927" s="26"/>
      <c r="C927" s="26"/>
      <c r="D927" s="26"/>
      <c r="E927" s="26"/>
      <c r="F927" s="26"/>
      <c r="G927" s="26"/>
      <c r="H927" s="26"/>
      <c r="I927" s="26"/>
      <c r="J927" s="26"/>
      <c r="K927" s="56"/>
      <c r="L927" s="26"/>
      <c r="M927" s="26"/>
      <c r="N927" s="26"/>
      <c r="O927" s="26"/>
      <c r="P927" s="26"/>
      <c r="Q927" s="26"/>
      <c r="R927" s="26"/>
      <c r="S927" s="26"/>
      <c r="T927" s="26"/>
      <c r="U927" s="26"/>
      <c r="V927" s="26"/>
      <c r="W927" s="26"/>
      <c r="X927" s="26"/>
      <c r="Y927" s="26"/>
      <c r="Z927" s="26"/>
      <c r="AA927" s="26"/>
      <c r="AB927" s="26"/>
      <c r="AC927" s="26"/>
      <c r="AD927" s="26"/>
      <c r="AE927" s="26"/>
      <c r="AF927" s="26"/>
      <c r="AG927" s="26"/>
      <c r="AH927" s="26"/>
    </row>
    <row r="928" spans="1:34" ht="15.75" customHeight="1">
      <c r="A928" s="26"/>
      <c r="B928" s="26"/>
      <c r="C928" s="26"/>
      <c r="D928" s="26"/>
      <c r="E928" s="26"/>
      <c r="F928" s="26"/>
      <c r="G928" s="26"/>
      <c r="H928" s="26"/>
      <c r="I928" s="26"/>
      <c r="J928" s="26"/>
      <c r="K928" s="56"/>
      <c r="L928" s="26"/>
      <c r="M928" s="26"/>
      <c r="N928" s="26"/>
      <c r="O928" s="26"/>
      <c r="P928" s="26"/>
      <c r="Q928" s="26"/>
      <c r="R928" s="26"/>
      <c r="S928" s="26"/>
      <c r="T928" s="26"/>
      <c r="U928" s="26"/>
      <c r="V928" s="26"/>
      <c r="W928" s="26"/>
      <c r="X928" s="26"/>
      <c r="Y928" s="26"/>
      <c r="Z928" s="26"/>
      <c r="AA928" s="26"/>
      <c r="AB928" s="26"/>
      <c r="AC928" s="26"/>
      <c r="AD928" s="26"/>
      <c r="AE928" s="26"/>
      <c r="AF928" s="26"/>
      <c r="AG928" s="26"/>
      <c r="AH928" s="26"/>
    </row>
    <row r="929" spans="1:34" ht="15.75" customHeight="1">
      <c r="A929" s="26"/>
      <c r="B929" s="26"/>
      <c r="C929" s="26"/>
      <c r="D929" s="26"/>
      <c r="E929" s="26"/>
      <c r="F929" s="26"/>
      <c r="G929" s="26"/>
      <c r="H929" s="26"/>
      <c r="I929" s="26"/>
      <c r="J929" s="26"/>
      <c r="K929" s="56"/>
      <c r="L929" s="26"/>
      <c r="M929" s="26"/>
      <c r="N929" s="26"/>
      <c r="O929" s="26"/>
      <c r="P929" s="26"/>
      <c r="Q929" s="26"/>
      <c r="R929" s="26"/>
      <c r="S929" s="26"/>
      <c r="T929" s="26"/>
      <c r="U929" s="26"/>
      <c r="V929" s="26"/>
      <c r="W929" s="26"/>
      <c r="X929" s="26"/>
      <c r="Y929" s="26"/>
      <c r="Z929" s="26"/>
      <c r="AA929" s="26"/>
      <c r="AB929" s="26"/>
      <c r="AC929" s="26"/>
      <c r="AD929" s="26"/>
      <c r="AE929" s="26"/>
      <c r="AF929" s="26"/>
      <c r="AG929" s="26"/>
      <c r="AH929" s="26"/>
    </row>
    <row r="930" spans="1:34" ht="15.75" customHeight="1">
      <c r="A930" s="26"/>
      <c r="B930" s="26"/>
      <c r="C930" s="26"/>
      <c r="D930" s="26"/>
      <c r="E930" s="26"/>
      <c r="F930" s="26"/>
      <c r="G930" s="26"/>
      <c r="H930" s="26"/>
      <c r="I930" s="26"/>
      <c r="J930" s="26"/>
      <c r="K930" s="56"/>
      <c r="L930" s="26"/>
      <c r="M930" s="26"/>
      <c r="N930" s="26"/>
      <c r="O930" s="26"/>
      <c r="P930" s="26"/>
      <c r="Q930" s="26"/>
      <c r="R930" s="26"/>
      <c r="S930" s="26"/>
      <c r="T930" s="26"/>
      <c r="U930" s="26"/>
      <c r="V930" s="26"/>
      <c r="W930" s="26"/>
      <c r="X930" s="26"/>
      <c r="Y930" s="26"/>
      <c r="Z930" s="26"/>
      <c r="AA930" s="26"/>
      <c r="AB930" s="26"/>
      <c r="AC930" s="26"/>
      <c r="AD930" s="26"/>
      <c r="AE930" s="26"/>
      <c r="AF930" s="26"/>
      <c r="AG930" s="26"/>
      <c r="AH930" s="26"/>
    </row>
    <row r="931" spans="1:34" ht="15.75" customHeight="1">
      <c r="A931" s="26"/>
      <c r="B931" s="26"/>
      <c r="C931" s="26"/>
      <c r="D931" s="26"/>
      <c r="E931" s="26"/>
      <c r="F931" s="26"/>
      <c r="G931" s="26"/>
      <c r="H931" s="26"/>
      <c r="I931" s="26"/>
      <c r="J931" s="26"/>
      <c r="K931" s="56"/>
      <c r="L931" s="26"/>
      <c r="M931" s="26"/>
      <c r="N931" s="26"/>
      <c r="O931" s="26"/>
      <c r="P931" s="26"/>
      <c r="Q931" s="26"/>
      <c r="R931" s="26"/>
      <c r="S931" s="26"/>
      <c r="T931" s="26"/>
      <c r="U931" s="26"/>
      <c r="V931" s="26"/>
      <c r="W931" s="26"/>
      <c r="X931" s="26"/>
      <c r="Y931" s="26"/>
      <c r="Z931" s="26"/>
      <c r="AA931" s="26"/>
      <c r="AB931" s="26"/>
      <c r="AC931" s="26"/>
      <c r="AD931" s="26"/>
      <c r="AE931" s="26"/>
      <c r="AF931" s="26"/>
      <c r="AG931" s="26"/>
      <c r="AH931" s="26"/>
    </row>
    <row r="932" spans="1:34" ht="15.75" customHeight="1">
      <c r="A932" s="26"/>
      <c r="B932" s="26"/>
      <c r="C932" s="26"/>
      <c r="D932" s="26"/>
      <c r="E932" s="26"/>
      <c r="F932" s="26"/>
      <c r="G932" s="26"/>
      <c r="H932" s="26"/>
      <c r="I932" s="26"/>
      <c r="J932" s="26"/>
      <c r="K932" s="56"/>
      <c r="L932" s="26"/>
      <c r="M932" s="26"/>
      <c r="N932" s="26"/>
      <c r="O932" s="26"/>
      <c r="P932" s="26"/>
      <c r="Q932" s="26"/>
      <c r="R932" s="26"/>
      <c r="S932" s="26"/>
      <c r="T932" s="26"/>
      <c r="U932" s="26"/>
      <c r="V932" s="26"/>
      <c r="W932" s="26"/>
      <c r="X932" s="26"/>
      <c r="Y932" s="26"/>
      <c r="Z932" s="26"/>
      <c r="AA932" s="26"/>
      <c r="AB932" s="26"/>
      <c r="AC932" s="26"/>
      <c r="AD932" s="26"/>
      <c r="AE932" s="26"/>
      <c r="AF932" s="26"/>
      <c r="AG932" s="26"/>
      <c r="AH932" s="26"/>
    </row>
    <row r="933" spans="1:34" ht="15.75" customHeight="1">
      <c r="A933" s="26"/>
      <c r="B933" s="26"/>
      <c r="C933" s="26"/>
      <c r="D933" s="26"/>
      <c r="E933" s="26"/>
      <c r="F933" s="26"/>
      <c r="G933" s="26"/>
      <c r="H933" s="26"/>
      <c r="I933" s="26"/>
      <c r="J933" s="26"/>
      <c r="K933" s="56"/>
      <c r="L933" s="26"/>
      <c r="M933" s="26"/>
      <c r="N933" s="26"/>
      <c r="O933" s="26"/>
      <c r="P933" s="26"/>
      <c r="Q933" s="26"/>
      <c r="R933" s="26"/>
      <c r="S933" s="26"/>
      <c r="T933" s="26"/>
      <c r="U933" s="26"/>
      <c r="V933" s="26"/>
      <c r="W933" s="26"/>
      <c r="X933" s="26"/>
      <c r="Y933" s="26"/>
      <c r="Z933" s="26"/>
      <c r="AA933" s="26"/>
      <c r="AB933" s="26"/>
      <c r="AC933" s="26"/>
      <c r="AD933" s="26"/>
      <c r="AE933" s="26"/>
      <c r="AF933" s="26"/>
      <c r="AG933" s="26"/>
      <c r="AH933" s="26"/>
    </row>
    <row r="934" spans="1:34" ht="15.75" customHeight="1">
      <c r="A934" s="26"/>
      <c r="B934" s="26"/>
      <c r="C934" s="26"/>
      <c r="D934" s="26"/>
      <c r="E934" s="26"/>
      <c r="F934" s="26"/>
      <c r="G934" s="26"/>
      <c r="H934" s="26"/>
      <c r="I934" s="26"/>
      <c r="J934" s="26"/>
      <c r="K934" s="56"/>
      <c r="L934" s="26"/>
      <c r="M934" s="26"/>
      <c r="N934" s="26"/>
      <c r="O934" s="26"/>
      <c r="P934" s="26"/>
      <c r="Q934" s="26"/>
      <c r="R934" s="26"/>
      <c r="S934" s="26"/>
      <c r="T934" s="26"/>
      <c r="U934" s="26"/>
      <c r="V934" s="26"/>
      <c r="W934" s="26"/>
      <c r="X934" s="26"/>
      <c r="Y934" s="26"/>
      <c r="Z934" s="26"/>
      <c r="AA934" s="26"/>
      <c r="AB934" s="26"/>
      <c r="AC934" s="26"/>
      <c r="AD934" s="26"/>
      <c r="AE934" s="26"/>
      <c r="AF934" s="26"/>
      <c r="AG934" s="26"/>
      <c r="AH934" s="26"/>
    </row>
    <row r="935" spans="1:34" ht="15.75" customHeight="1">
      <c r="A935" s="26"/>
      <c r="B935" s="26"/>
      <c r="C935" s="26"/>
      <c r="D935" s="26"/>
      <c r="E935" s="26"/>
      <c r="F935" s="26"/>
      <c r="G935" s="26"/>
      <c r="H935" s="26"/>
      <c r="I935" s="26"/>
      <c r="J935" s="26"/>
      <c r="K935" s="56"/>
      <c r="L935" s="26"/>
      <c r="M935" s="26"/>
      <c r="N935" s="26"/>
      <c r="O935" s="26"/>
      <c r="P935" s="26"/>
      <c r="Q935" s="26"/>
      <c r="R935" s="26"/>
      <c r="S935" s="26"/>
      <c r="T935" s="26"/>
      <c r="U935" s="26"/>
      <c r="V935" s="26"/>
      <c r="W935" s="26"/>
      <c r="X935" s="26"/>
      <c r="Y935" s="26"/>
      <c r="Z935" s="26"/>
      <c r="AA935" s="26"/>
      <c r="AB935" s="26"/>
      <c r="AC935" s="26"/>
      <c r="AD935" s="26"/>
      <c r="AE935" s="26"/>
      <c r="AF935" s="26"/>
      <c r="AG935" s="26"/>
      <c r="AH935" s="26"/>
    </row>
    <row r="936" spans="1:34" ht="15.75" customHeight="1">
      <c r="A936" s="26"/>
      <c r="B936" s="26"/>
      <c r="C936" s="26"/>
      <c r="D936" s="26"/>
      <c r="E936" s="26"/>
      <c r="F936" s="26"/>
      <c r="G936" s="26"/>
      <c r="H936" s="26"/>
      <c r="I936" s="26"/>
      <c r="J936" s="26"/>
      <c r="K936" s="56"/>
      <c r="L936" s="26"/>
      <c r="M936" s="26"/>
      <c r="N936" s="26"/>
      <c r="O936" s="26"/>
      <c r="P936" s="26"/>
      <c r="Q936" s="26"/>
      <c r="R936" s="26"/>
      <c r="S936" s="26"/>
      <c r="T936" s="26"/>
      <c r="U936" s="26"/>
      <c r="V936" s="26"/>
      <c r="W936" s="26"/>
      <c r="X936" s="26"/>
      <c r="Y936" s="26"/>
      <c r="Z936" s="26"/>
      <c r="AA936" s="26"/>
      <c r="AB936" s="26"/>
      <c r="AC936" s="26"/>
      <c r="AD936" s="26"/>
      <c r="AE936" s="26"/>
      <c r="AF936" s="26"/>
      <c r="AG936" s="26"/>
      <c r="AH936" s="26"/>
    </row>
    <row r="937" spans="1:34" ht="15.75" customHeight="1">
      <c r="A937" s="26"/>
      <c r="B937" s="26"/>
      <c r="C937" s="26"/>
      <c r="D937" s="26"/>
      <c r="E937" s="26"/>
      <c r="F937" s="26"/>
      <c r="G937" s="26"/>
      <c r="H937" s="26"/>
      <c r="I937" s="26"/>
      <c r="J937" s="26"/>
      <c r="K937" s="56"/>
      <c r="L937" s="26"/>
      <c r="M937" s="26"/>
      <c r="N937" s="26"/>
      <c r="O937" s="26"/>
      <c r="P937" s="26"/>
      <c r="Q937" s="26"/>
      <c r="R937" s="26"/>
      <c r="S937" s="26"/>
      <c r="T937" s="26"/>
      <c r="U937" s="26"/>
      <c r="V937" s="26"/>
      <c r="W937" s="26"/>
      <c r="X937" s="26"/>
      <c r="Y937" s="26"/>
      <c r="Z937" s="26"/>
      <c r="AA937" s="26"/>
      <c r="AB937" s="26"/>
      <c r="AC937" s="26"/>
      <c r="AD937" s="26"/>
      <c r="AE937" s="26"/>
      <c r="AF937" s="26"/>
      <c r="AG937" s="26"/>
      <c r="AH937" s="26"/>
    </row>
    <row r="938" spans="1:34" ht="15.75" customHeight="1">
      <c r="A938" s="26"/>
      <c r="B938" s="26"/>
      <c r="C938" s="26"/>
      <c r="D938" s="26"/>
      <c r="E938" s="26"/>
      <c r="F938" s="26"/>
      <c r="G938" s="26"/>
      <c r="H938" s="26"/>
      <c r="I938" s="26"/>
      <c r="J938" s="26"/>
      <c r="K938" s="56"/>
      <c r="L938" s="26"/>
      <c r="M938" s="26"/>
      <c r="N938" s="26"/>
      <c r="O938" s="26"/>
      <c r="P938" s="26"/>
      <c r="Q938" s="26"/>
      <c r="R938" s="26"/>
      <c r="S938" s="26"/>
      <c r="T938" s="26"/>
      <c r="U938" s="26"/>
      <c r="V938" s="26"/>
      <c r="W938" s="26"/>
      <c r="X938" s="26"/>
      <c r="Y938" s="26"/>
      <c r="Z938" s="26"/>
      <c r="AA938" s="26"/>
      <c r="AB938" s="26"/>
      <c r="AC938" s="26"/>
      <c r="AD938" s="26"/>
      <c r="AE938" s="26"/>
      <c r="AF938" s="26"/>
      <c r="AG938" s="26"/>
      <c r="AH938" s="26"/>
    </row>
    <row r="939" spans="1:34" ht="15.75" customHeight="1">
      <c r="A939" s="26"/>
      <c r="B939" s="26"/>
      <c r="C939" s="26"/>
      <c r="D939" s="26"/>
      <c r="E939" s="26"/>
      <c r="F939" s="26"/>
      <c r="G939" s="26"/>
      <c r="H939" s="26"/>
      <c r="I939" s="26"/>
      <c r="J939" s="26"/>
      <c r="K939" s="56"/>
      <c r="L939" s="26"/>
      <c r="M939" s="26"/>
      <c r="N939" s="26"/>
      <c r="O939" s="26"/>
      <c r="P939" s="26"/>
      <c r="Q939" s="26"/>
      <c r="R939" s="26"/>
      <c r="S939" s="26"/>
      <c r="T939" s="26"/>
      <c r="U939" s="26"/>
      <c r="V939" s="26"/>
      <c r="W939" s="26"/>
      <c r="X939" s="26"/>
      <c r="Y939" s="26"/>
      <c r="Z939" s="26"/>
      <c r="AA939" s="26"/>
      <c r="AB939" s="26"/>
      <c r="AC939" s="26"/>
      <c r="AD939" s="26"/>
      <c r="AE939" s="26"/>
      <c r="AF939" s="26"/>
      <c r="AG939" s="26"/>
      <c r="AH939" s="26"/>
    </row>
    <row r="940" spans="1:34" ht="15.75" customHeight="1">
      <c r="A940" s="26"/>
      <c r="B940" s="26"/>
      <c r="C940" s="26"/>
      <c r="D940" s="26"/>
      <c r="E940" s="26"/>
      <c r="F940" s="26"/>
      <c r="G940" s="26"/>
      <c r="H940" s="26"/>
      <c r="I940" s="26"/>
      <c r="J940" s="26"/>
      <c r="K940" s="56"/>
      <c r="L940" s="26"/>
      <c r="M940" s="26"/>
      <c r="N940" s="26"/>
      <c r="O940" s="26"/>
      <c r="P940" s="26"/>
      <c r="Q940" s="26"/>
      <c r="R940" s="26"/>
      <c r="S940" s="26"/>
      <c r="T940" s="26"/>
      <c r="U940" s="26"/>
      <c r="V940" s="26"/>
      <c r="W940" s="26"/>
      <c r="X940" s="26"/>
      <c r="Y940" s="26"/>
      <c r="Z940" s="26"/>
      <c r="AA940" s="26"/>
      <c r="AB940" s="26"/>
      <c r="AC940" s="26"/>
      <c r="AD940" s="26"/>
      <c r="AE940" s="26"/>
      <c r="AF940" s="26"/>
      <c r="AG940" s="26"/>
      <c r="AH940" s="26"/>
    </row>
    <row r="941" spans="1:34" ht="15.75" customHeight="1">
      <c r="A941" s="26"/>
      <c r="B941" s="26"/>
      <c r="C941" s="26"/>
      <c r="D941" s="26"/>
      <c r="E941" s="26"/>
      <c r="F941" s="26"/>
      <c r="G941" s="26"/>
      <c r="H941" s="26"/>
      <c r="I941" s="26"/>
      <c r="J941" s="26"/>
      <c r="K941" s="56"/>
      <c r="L941" s="26"/>
      <c r="M941" s="26"/>
      <c r="N941" s="26"/>
      <c r="O941" s="26"/>
      <c r="P941" s="26"/>
      <c r="Q941" s="26"/>
      <c r="R941" s="26"/>
      <c r="S941" s="26"/>
      <c r="T941" s="26"/>
      <c r="U941" s="26"/>
      <c r="V941" s="26"/>
      <c r="W941" s="26"/>
      <c r="X941" s="26"/>
      <c r="Y941" s="26"/>
      <c r="Z941" s="26"/>
      <c r="AA941" s="26"/>
      <c r="AB941" s="26"/>
      <c r="AC941" s="26"/>
      <c r="AD941" s="26"/>
      <c r="AE941" s="26"/>
      <c r="AF941" s="26"/>
      <c r="AG941" s="26"/>
      <c r="AH941" s="26"/>
    </row>
    <row r="942" spans="1:34" ht="15.75" customHeight="1">
      <c r="A942" s="26"/>
      <c r="B942" s="26"/>
      <c r="C942" s="26"/>
      <c r="D942" s="26"/>
      <c r="E942" s="26"/>
      <c r="F942" s="26"/>
      <c r="G942" s="26"/>
      <c r="H942" s="26"/>
      <c r="I942" s="26"/>
      <c r="J942" s="26"/>
      <c r="K942" s="56"/>
      <c r="L942" s="26"/>
      <c r="M942" s="26"/>
      <c r="N942" s="26"/>
      <c r="O942" s="26"/>
      <c r="P942" s="26"/>
      <c r="Q942" s="26"/>
      <c r="R942" s="26"/>
      <c r="S942" s="26"/>
      <c r="T942" s="26"/>
      <c r="U942" s="26"/>
      <c r="V942" s="26"/>
      <c r="W942" s="26"/>
      <c r="X942" s="26"/>
      <c r="Y942" s="26"/>
      <c r="Z942" s="26"/>
      <c r="AA942" s="26"/>
      <c r="AB942" s="26"/>
      <c r="AC942" s="26"/>
      <c r="AD942" s="26"/>
      <c r="AE942" s="26"/>
      <c r="AF942" s="26"/>
      <c r="AG942" s="26"/>
      <c r="AH942" s="26"/>
    </row>
    <row r="943" spans="1:34" ht="15.75" customHeight="1">
      <c r="A943" s="26"/>
      <c r="B943" s="26"/>
      <c r="C943" s="26"/>
      <c r="D943" s="26"/>
      <c r="E943" s="26"/>
      <c r="F943" s="26"/>
      <c r="G943" s="26"/>
      <c r="H943" s="26"/>
      <c r="I943" s="26"/>
      <c r="J943" s="26"/>
      <c r="K943" s="56"/>
      <c r="L943" s="26"/>
      <c r="M943" s="26"/>
      <c r="N943" s="26"/>
      <c r="O943" s="26"/>
      <c r="P943" s="26"/>
      <c r="Q943" s="26"/>
      <c r="R943" s="26"/>
      <c r="S943" s="26"/>
      <c r="T943" s="26"/>
      <c r="U943" s="26"/>
      <c r="V943" s="26"/>
      <c r="W943" s="26"/>
      <c r="X943" s="26"/>
      <c r="Y943" s="26"/>
      <c r="Z943" s="26"/>
      <c r="AA943" s="26"/>
      <c r="AB943" s="26"/>
      <c r="AC943" s="26"/>
      <c r="AD943" s="26"/>
      <c r="AE943" s="26"/>
      <c r="AF943" s="26"/>
      <c r="AG943" s="26"/>
      <c r="AH943" s="26"/>
    </row>
    <row r="944" spans="1:34" ht="15.75" customHeight="1">
      <c r="A944" s="26"/>
      <c r="B944" s="26"/>
      <c r="C944" s="26"/>
      <c r="D944" s="26"/>
      <c r="E944" s="26"/>
      <c r="F944" s="26"/>
      <c r="G944" s="26"/>
      <c r="H944" s="26"/>
      <c r="I944" s="26"/>
      <c r="J944" s="26"/>
      <c r="K944" s="56"/>
      <c r="L944" s="26"/>
      <c r="M944" s="26"/>
      <c r="N944" s="26"/>
      <c r="O944" s="26"/>
      <c r="P944" s="26"/>
      <c r="Q944" s="26"/>
      <c r="R944" s="26"/>
      <c r="S944" s="26"/>
      <c r="T944" s="26"/>
      <c r="U944" s="26"/>
      <c r="V944" s="26"/>
      <c r="W944" s="26"/>
      <c r="X944" s="26"/>
      <c r="Y944" s="26"/>
      <c r="Z944" s="26"/>
      <c r="AA944" s="26"/>
      <c r="AB944" s="26"/>
      <c r="AC944" s="26"/>
      <c r="AD944" s="26"/>
      <c r="AE944" s="26"/>
      <c r="AF944" s="26"/>
      <c r="AG944" s="26"/>
      <c r="AH944" s="26"/>
    </row>
    <row r="945" spans="1:34" ht="15.75" customHeight="1">
      <c r="A945" s="26"/>
      <c r="B945" s="26"/>
      <c r="C945" s="26"/>
      <c r="D945" s="26"/>
      <c r="E945" s="26"/>
      <c r="F945" s="26"/>
      <c r="G945" s="26"/>
      <c r="H945" s="26"/>
      <c r="I945" s="26"/>
      <c r="J945" s="26"/>
      <c r="K945" s="56"/>
      <c r="L945" s="26"/>
      <c r="M945" s="26"/>
      <c r="N945" s="26"/>
      <c r="O945" s="26"/>
      <c r="P945" s="26"/>
      <c r="Q945" s="26"/>
      <c r="R945" s="26"/>
      <c r="S945" s="26"/>
      <c r="T945" s="26"/>
      <c r="U945" s="26"/>
      <c r="V945" s="26"/>
      <c r="W945" s="26"/>
      <c r="X945" s="26"/>
      <c r="Y945" s="26"/>
      <c r="Z945" s="26"/>
      <c r="AA945" s="26"/>
      <c r="AB945" s="26"/>
      <c r="AC945" s="26"/>
      <c r="AD945" s="26"/>
      <c r="AE945" s="26"/>
      <c r="AF945" s="26"/>
      <c r="AG945" s="26"/>
      <c r="AH945" s="26"/>
    </row>
    <row r="946" spans="1:34" ht="15.75" customHeight="1">
      <c r="A946" s="26"/>
      <c r="B946" s="26"/>
      <c r="C946" s="26"/>
      <c r="D946" s="26"/>
      <c r="E946" s="26"/>
      <c r="F946" s="26"/>
      <c r="G946" s="26"/>
      <c r="H946" s="26"/>
      <c r="I946" s="26"/>
      <c r="J946" s="26"/>
      <c r="K946" s="56"/>
      <c r="L946" s="26"/>
      <c r="M946" s="26"/>
      <c r="N946" s="26"/>
      <c r="O946" s="26"/>
      <c r="P946" s="26"/>
      <c r="Q946" s="26"/>
      <c r="R946" s="26"/>
      <c r="S946" s="26"/>
      <c r="T946" s="26"/>
      <c r="U946" s="26"/>
      <c r="V946" s="26"/>
      <c r="W946" s="26"/>
      <c r="X946" s="26"/>
      <c r="Y946" s="26"/>
      <c r="Z946" s="26"/>
      <c r="AA946" s="26"/>
      <c r="AB946" s="26"/>
      <c r="AC946" s="26"/>
      <c r="AD946" s="26"/>
      <c r="AE946" s="26"/>
      <c r="AF946" s="26"/>
      <c r="AG946" s="26"/>
      <c r="AH946" s="26"/>
    </row>
    <row r="947" spans="1:34" ht="15.75" customHeight="1">
      <c r="A947" s="26"/>
      <c r="B947" s="26"/>
      <c r="C947" s="26"/>
      <c r="D947" s="26"/>
      <c r="E947" s="26"/>
      <c r="F947" s="26"/>
      <c r="G947" s="26"/>
      <c r="H947" s="26"/>
      <c r="I947" s="26"/>
      <c r="J947" s="26"/>
      <c r="K947" s="56"/>
      <c r="L947" s="26"/>
      <c r="M947" s="26"/>
      <c r="N947" s="26"/>
      <c r="O947" s="26"/>
      <c r="P947" s="26"/>
      <c r="Q947" s="26"/>
      <c r="R947" s="26"/>
      <c r="S947" s="26"/>
      <c r="T947" s="26"/>
      <c r="U947" s="26"/>
      <c r="V947" s="26"/>
      <c r="W947" s="26"/>
      <c r="X947" s="26"/>
      <c r="Y947" s="26"/>
      <c r="Z947" s="26"/>
      <c r="AA947" s="26"/>
      <c r="AB947" s="26"/>
      <c r="AC947" s="26"/>
      <c r="AD947" s="26"/>
      <c r="AE947" s="26"/>
      <c r="AF947" s="26"/>
      <c r="AG947" s="26"/>
      <c r="AH947" s="26"/>
    </row>
    <row r="948" spans="1:34" ht="15.75" customHeight="1">
      <c r="A948" s="26"/>
      <c r="B948" s="26"/>
      <c r="C948" s="26"/>
      <c r="D948" s="26"/>
      <c r="E948" s="26"/>
      <c r="F948" s="26"/>
      <c r="G948" s="26"/>
      <c r="H948" s="26"/>
      <c r="I948" s="26"/>
      <c r="J948" s="26"/>
      <c r="K948" s="56"/>
      <c r="L948" s="26"/>
      <c r="M948" s="26"/>
      <c r="N948" s="26"/>
      <c r="O948" s="26"/>
      <c r="P948" s="26"/>
      <c r="Q948" s="26"/>
      <c r="R948" s="26"/>
      <c r="S948" s="26"/>
      <c r="T948" s="26"/>
      <c r="U948" s="26"/>
      <c r="V948" s="26"/>
      <c r="W948" s="26"/>
      <c r="X948" s="26"/>
      <c r="Y948" s="26"/>
      <c r="Z948" s="26"/>
      <c r="AA948" s="26"/>
      <c r="AB948" s="26"/>
      <c r="AC948" s="26"/>
      <c r="AD948" s="26"/>
      <c r="AE948" s="26"/>
      <c r="AF948" s="26"/>
      <c r="AG948" s="26"/>
      <c r="AH948" s="26"/>
    </row>
    <row r="949" spans="1:34" ht="15.75" customHeight="1">
      <c r="A949" s="26"/>
      <c r="B949" s="26"/>
      <c r="C949" s="26"/>
      <c r="D949" s="26"/>
      <c r="E949" s="26"/>
      <c r="F949" s="26"/>
      <c r="G949" s="26"/>
      <c r="H949" s="26"/>
      <c r="I949" s="26"/>
      <c r="J949" s="26"/>
      <c r="K949" s="56"/>
      <c r="L949" s="26"/>
      <c r="M949" s="26"/>
      <c r="N949" s="26"/>
      <c r="O949" s="26"/>
      <c r="P949" s="26"/>
      <c r="Q949" s="26"/>
      <c r="R949" s="26"/>
      <c r="S949" s="26"/>
      <c r="T949" s="26"/>
      <c r="U949" s="26"/>
      <c r="V949" s="26"/>
      <c r="W949" s="26"/>
      <c r="X949" s="26"/>
      <c r="Y949" s="26"/>
      <c r="Z949" s="26"/>
      <c r="AA949" s="26"/>
      <c r="AB949" s="26"/>
      <c r="AC949" s="26"/>
      <c r="AD949" s="26"/>
      <c r="AE949" s="26"/>
      <c r="AF949" s="26"/>
      <c r="AG949" s="26"/>
      <c r="AH949" s="26"/>
    </row>
    <row r="950" spans="1:34" ht="15.75" customHeight="1">
      <c r="A950" s="26"/>
      <c r="B950" s="26"/>
      <c r="C950" s="26"/>
      <c r="D950" s="26"/>
      <c r="E950" s="26"/>
      <c r="F950" s="26"/>
      <c r="G950" s="26"/>
      <c r="H950" s="26"/>
      <c r="I950" s="26"/>
      <c r="J950" s="26"/>
      <c r="K950" s="56"/>
      <c r="L950" s="26"/>
      <c r="M950" s="26"/>
      <c r="N950" s="26"/>
      <c r="O950" s="26"/>
      <c r="P950" s="26"/>
      <c r="Q950" s="26"/>
      <c r="R950" s="26"/>
      <c r="S950" s="26"/>
      <c r="T950" s="26"/>
      <c r="U950" s="26"/>
      <c r="V950" s="26"/>
      <c r="W950" s="26"/>
      <c r="X950" s="26"/>
      <c r="Y950" s="26"/>
      <c r="Z950" s="26"/>
      <c r="AA950" s="26"/>
      <c r="AB950" s="26"/>
      <c r="AC950" s="26"/>
      <c r="AD950" s="26"/>
      <c r="AE950" s="26"/>
      <c r="AF950" s="26"/>
      <c r="AG950" s="26"/>
      <c r="AH950" s="26"/>
    </row>
    <row r="951" spans="1:34" ht="15.75" customHeight="1">
      <c r="A951" s="26"/>
      <c r="B951" s="26"/>
      <c r="C951" s="26"/>
      <c r="D951" s="26"/>
      <c r="E951" s="26"/>
      <c r="F951" s="26"/>
      <c r="G951" s="26"/>
      <c r="H951" s="26"/>
      <c r="I951" s="26"/>
      <c r="J951" s="26"/>
      <c r="K951" s="56"/>
      <c r="L951" s="26"/>
      <c r="M951" s="26"/>
      <c r="N951" s="26"/>
      <c r="O951" s="26"/>
      <c r="P951" s="26"/>
      <c r="Q951" s="26"/>
      <c r="R951" s="26"/>
      <c r="S951" s="26"/>
      <c r="T951" s="26"/>
      <c r="U951" s="26"/>
      <c r="V951" s="26"/>
      <c r="W951" s="26"/>
      <c r="X951" s="26"/>
      <c r="Y951" s="26"/>
      <c r="Z951" s="26"/>
      <c r="AA951" s="26"/>
      <c r="AB951" s="26"/>
      <c r="AC951" s="26"/>
      <c r="AD951" s="26"/>
      <c r="AE951" s="26"/>
      <c r="AF951" s="26"/>
      <c r="AG951" s="26"/>
      <c r="AH951" s="26"/>
    </row>
    <row r="952" spans="1:34" ht="15.75" customHeight="1">
      <c r="A952" s="26"/>
      <c r="B952" s="26"/>
      <c r="C952" s="26"/>
      <c r="D952" s="26"/>
      <c r="E952" s="26"/>
      <c r="F952" s="26"/>
      <c r="G952" s="26"/>
      <c r="H952" s="26"/>
      <c r="I952" s="26"/>
      <c r="J952" s="26"/>
      <c r="K952" s="56"/>
      <c r="L952" s="26"/>
      <c r="M952" s="26"/>
      <c r="N952" s="26"/>
      <c r="O952" s="26"/>
      <c r="P952" s="26"/>
      <c r="Q952" s="26"/>
      <c r="R952" s="26"/>
      <c r="S952" s="26"/>
      <c r="T952" s="26"/>
      <c r="U952" s="26"/>
      <c r="V952" s="26"/>
      <c r="W952" s="26"/>
      <c r="X952" s="26"/>
      <c r="Y952" s="26"/>
      <c r="Z952" s="26"/>
      <c r="AA952" s="26"/>
      <c r="AB952" s="26"/>
      <c r="AC952" s="26"/>
      <c r="AD952" s="26"/>
      <c r="AE952" s="26"/>
      <c r="AF952" s="26"/>
      <c r="AG952" s="26"/>
      <c r="AH952" s="26"/>
    </row>
    <row r="953" spans="1:34" ht="15.75" customHeight="1">
      <c r="A953" s="26"/>
      <c r="B953" s="26"/>
      <c r="C953" s="26"/>
      <c r="D953" s="26"/>
      <c r="E953" s="26"/>
      <c r="F953" s="26"/>
      <c r="G953" s="26"/>
      <c r="H953" s="26"/>
      <c r="I953" s="26"/>
      <c r="J953" s="26"/>
      <c r="K953" s="56"/>
      <c r="L953" s="26"/>
      <c r="M953" s="26"/>
      <c r="N953" s="26"/>
      <c r="O953" s="26"/>
      <c r="P953" s="26"/>
      <c r="Q953" s="26"/>
      <c r="R953" s="26"/>
      <c r="S953" s="26"/>
      <c r="T953" s="26"/>
      <c r="U953" s="26"/>
      <c r="V953" s="26"/>
      <c r="W953" s="26"/>
      <c r="X953" s="26"/>
      <c r="Y953" s="26"/>
      <c r="Z953" s="26"/>
      <c r="AA953" s="26"/>
      <c r="AB953" s="26"/>
      <c r="AC953" s="26"/>
      <c r="AD953" s="26"/>
      <c r="AE953" s="26"/>
      <c r="AF953" s="26"/>
      <c r="AG953" s="26"/>
      <c r="AH953" s="26"/>
    </row>
    <row r="954" spans="1:34" ht="15.75" customHeight="1">
      <c r="A954" s="26"/>
      <c r="B954" s="26"/>
      <c r="C954" s="26"/>
      <c r="D954" s="26"/>
      <c r="E954" s="26"/>
      <c r="F954" s="26"/>
      <c r="G954" s="26"/>
      <c r="H954" s="26"/>
      <c r="I954" s="26"/>
      <c r="J954" s="26"/>
      <c r="K954" s="56"/>
      <c r="L954" s="26"/>
      <c r="M954" s="26"/>
      <c r="N954" s="26"/>
      <c r="O954" s="26"/>
      <c r="P954" s="26"/>
      <c r="Q954" s="26"/>
      <c r="R954" s="26"/>
      <c r="S954" s="26"/>
      <c r="T954" s="26"/>
      <c r="U954" s="26"/>
      <c r="V954" s="26"/>
      <c r="W954" s="26"/>
      <c r="X954" s="26"/>
      <c r="Y954" s="26"/>
      <c r="Z954" s="26"/>
      <c r="AA954" s="26"/>
      <c r="AB954" s="26"/>
      <c r="AC954" s="26"/>
      <c r="AD954" s="26"/>
      <c r="AE954" s="26"/>
      <c r="AF954" s="26"/>
      <c r="AG954" s="26"/>
      <c r="AH954" s="26"/>
    </row>
    <row r="955" spans="1:34" ht="15.75" customHeight="1">
      <c r="A955" s="26"/>
      <c r="B955" s="26"/>
      <c r="C955" s="26"/>
      <c r="D955" s="26"/>
      <c r="E955" s="26"/>
      <c r="F955" s="26"/>
      <c r="G955" s="26"/>
      <c r="H955" s="26"/>
      <c r="I955" s="26"/>
      <c r="J955" s="26"/>
      <c r="K955" s="56"/>
      <c r="L955" s="26"/>
      <c r="M955" s="26"/>
      <c r="N955" s="26"/>
      <c r="O955" s="26"/>
      <c r="P955" s="26"/>
      <c r="Q955" s="26"/>
      <c r="R955" s="26"/>
      <c r="S955" s="26"/>
      <c r="T955" s="26"/>
      <c r="U955" s="26"/>
      <c r="V955" s="26"/>
      <c r="W955" s="26"/>
      <c r="X955" s="26"/>
      <c r="Y955" s="26"/>
      <c r="Z955" s="26"/>
      <c r="AA955" s="26"/>
      <c r="AB955" s="26"/>
      <c r="AC955" s="26"/>
      <c r="AD955" s="26"/>
      <c r="AE955" s="26"/>
      <c r="AF955" s="26"/>
      <c r="AG955" s="26"/>
      <c r="AH955" s="26"/>
    </row>
    <row r="956" spans="1:34" ht="15.75" customHeight="1">
      <c r="A956" s="26"/>
      <c r="B956" s="26"/>
      <c r="C956" s="26"/>
      <c r="D956" s="26"/>
      <c r="E956" s="26"/>
      <c r="F956" s="26"/>
      <c r="G956" s="26"/>
      <c r="H956" s="26"/>
      <c r="I956" s="26"/>
      <c r="J956" s="26"/>
      <c r="K956" s="56"/>
      <c r="L956" s="26"/>
      <c r="M956" s="26"/>
      <c r="N956" s="26"/>
      <c r="O956" s="26"/>
      <c r="P956" s="26"/>
      <c r="Q956" s="26"/>
      <c r="R956" s="26"/>
      <c r="S956" s="26"/>
      <c r="T956" s="26"/>
      <c r="U956" s="26"/>
      <c r="V956" s="26"/>
      <c r="W956" s="26"/>
      <c r="X956" s="26"/>
      <c r="Y956" s="26"/>
      <c r="Z956" s="26"/>
      <c r="AA956" s="26"/>
      <c r="AB956" s="26"/>
      <c r="AC956" s="26"/>
      <c r="AD956" s="26"/>
      <c r="AE956" s="26"/>
      <c r="AF956" s="26"/>
      <c r="AG956" s="26"/>
      <c r="AH956" s="26"/>
    </row>
    <row r="957" spans="1:34" ht="15.75" customHeight="1">
      <c r="A957" s="26"/>
      <c r="B957" s="26"/>
      <c r="C957" s="26"/>
      <c r="D957" s="26"/>
      <c r="E957" s="26"/>
      <c r="F957" s="26"/>
      <c r="G957" s="26"/>
      <c r="H957" s="26"/>
      <c r="I957" s="26"/>
      <c r="J957" s="26"/>
      <c r="K957" s="56"/>
      <c r="L957" s="26"/>
      <c r="M957" s="26"/>
      <c r="N957" s="26"/>
      <c r="O957" s="26"/>
      <c r="P957" s="26"/>
      <c r="Q957" s="26"/>
      <c r="R957" s="26"/>
      <c r="S957" s="26"/>
      <c r="T957" s="26"/>
      <c r="U957" s="26"/>
      <c r="V957" s="26"/>
      <c r="W957" s="26"/>
      <c r="X957" s="26"/>
      <c r="Y957" s="26"/>
      <c r="Z957" s="26"/>
      <c r="AA957" s="26"/>
      <c r="AB957" s="26"/>
      <c r="AC957" s="26"/>
      <c r="AD957" s="26"/>
      <c r="AE957" s="26"/>
      <c r="AF957" s="26"/>
      <c r="AG957" s="26"/>
      <c r="AH957" s="26"/>
    </row>
    <row r="958" spans="1:34" ht="15.75" customHeight="1">
      <c r="A958" s="26"/>
      <c r="B958" s="26"/>
      <c r="C958" s="26"/>
      <c r="D958" s="26"/>
      <c r="E958" s="26"/>
      <c r="F958" s="26"/>
      <c r="G958" s="26"/>
      <c r="H958" s="26"/>
      <c r="I958" s="26"/>
      <c r="J958" s="26"/>
      <c r="K958" s="56"/>
      <c r="L958" s="26"/>
      <c r="M958" s="26"/>
      <c r="N958" s="26"/>
      <c r="O958" s="26"/>
      <c r="P958" s="26"/>
      <c r="Q958" s="26"/>
      <c r="R958" s="26"/>
      <c r="S958" s="26"/>
      <c r="T958" s="26"/>
      <c r="U958" s="26"/>
      <c r="V958" s="26"/>
      <c r="W958" s="26"/>
      <c r="X958" s="26"/>
      <c r="Y958" s="26"/>
      <c r="Z958" s="26"/>
      <c r="AA958" s="26"/>
      <c r="AB958" s="26"/>
      <c r="AC958" s="26"/>
      <c r="AD958" s="26"/>
      <c r="AE958" s="26"/>
      <c r="AF958" s="26"/>
      <c r="AG958" s="26"/>
      <c r="AH958" s="26"/>
    </row>
    <row r="959" spans="1:34" ht="15.75" customHeight="1">
      <c r="A959" s="26"/>
      <c r="B959" s="26"/>
      <c r="C959" s="26"/>
      <c r="D959" s="26"/>
      <c r="E959" s="26"/>
      <c r="F959" s="26"/>
      <c r="G959" s="26"/>
      <c r="H959" s="26"/>
      <c r="I959" s="26"/>
      <c r="J959" s="26"/>
      <c r="K959" s="56"/>
      <c r="L959" s="26"/>
      <c r="M959" s="26"/>
      <c r="N959" s="26"/>
      <c r="O959" s="26"/>
      <c r="P959" s="26"/>
      <c r="Q959" s="26"/>
      <c r="R959" s="26"/>
      <c r="S959" s="26"/>
      <c r="T959" s="26"/>
      <c r="U959" s="26"/>
      <c r="V959" s="26"/>
      <c r="W959" s="26"/>
      <c r="X959" s="26"/>
      <c r="Y959" s="26"/>
      <c r="Z959" s="26"/>
      <c r="AA959" s="26"/>
      <c r="AB959" s="26"/>
      <c r="AC959" s="26"/>
      <c r="AD959" s="26"/>
      <c r="AE959" s="26"/>
      <c r="AF959" s="26"/>
      <c r="AG959" s="26"/>
      <c r="AH959" s="26"/>
    </row>
    <row r="960" spans="1:34" ht="15.75" customHeight="1">
      <c r="A960" s="26"/>
      <c r="B960" s="26"/>
      <c r="C960" s="26"/>
      <c r="D960" s="26"/>
      <c r="E960" s="26"/>
      <c r="F960" s="26"/>
      <c r="G960" s="26"/>
      <c r="H960" s="26"/>
      <c r="I960" s="26"/>
      <c r="J960" s="26"/>
      <c r="K960" s="56"/>
      <c r="L960" s="26"/>
      <c r="M960" s="26"/>
      <c r="N960" s="26"/>
      <c r="O960" s="26"/>
      <c r="P960" s="26"/>
      <c r="Q960" s="26"/>
      <c r="R960" s="26"/>
      <c r="S960" s="26"/>
      <c r="T960" s="26"/>
      <c r="U960" s="26"/>
      <c r="V960" s="26"/>
      <c r="W960" s="26"/>
      <c r="X960" s="26"/>
      <c r="Y960" s="26"/>
      <c r="Z960" s="26"/>
      <c r="AA960" s="26"/>
      <c r="AB960" s="26"/>
      <c r="AC960" s="26"/>
      <c r="AD960" s="26"/>
      <c r="AE960" s="26"/>
      <c r="AF960" s="26"/>
      <c r="AG960" s="26"/>
      <c r="AH960" s="26"/>
    </row>
    <row r="961" spans="1:34" ht="15.75" customHeight="1">
      <c r="A961" s="26"/>
      <c r="B961" s="26"/>
      <c r="C961" s="26"/>
      <c r="D961" s="26"/>
      <c r="E961" s="26"/>
      <c r="F961" s="26"/>
      <c r="G961" s="26"/>
      <c r="H961" s="26"/>
      <c r="I961" s="26"/>
      <c r="J961" s="26"/>
      <c r="K961" s="56"/>
      <c r="L961" s="26"/>
      <c r="M961" s="26"/>
      <c r="N961" s="26"/>
      <c r="O961" s="26"/>
      <c r="P961" s="26"/>
      <c r="Q961" s="26"/>
      <c r="R961" s="26"/>
      <c r="S961" s="26"/>
      <c r="T961" s="26"/>
      <c r="U961" s="26"/>
      <c r="V961" s="26"/>
      <c r="W961" s="26"/>
      <c r="X961" s="26"/>
      <c r="Y961" s="26"/>
      <c r="Z961" s="26"/>
      <c r="AA961" s="26"/>
      <c r="AB961" s="26"/>
      <c r="AC961" s="26"/>
      <c r="AD961" s="26"/>
      <c r="AE961" s="26"/>
      <c r="AF961" s="26"/>
      <c r="AG961" s="26"/>
      <c r="AH961" s="26"/>
    </row>
    <row r="962" spans="1:34" ht="15.75" customHeight="1">
      <c r="A962" s="26"/>
      <c r="B962" s="26"/>
      <c r="C962" s="26"/>
      <c r="D962" s="26"/>
      <c r="E962" s="26"/>
      <c r="F962" s="26"/>
      <c r="G962" s="26"/>
      <c r="H962" s="26"/>
      <c r="I962" s="26"/>
      <c r="J962" s="26"/>
      <c r="K962" s="56"/>
      <c r="L962" s="26"/>
      <c r="M962" s="26"/>
      <c r="N962" s="26"/>
      <c r="O962" s="26"/>
      <c r="P962" s="26"/>
      <c r="Q962" s="26"/>
      <c r="R962" s="26"/>
      <c r="S962" s="26"/>
      <c r="T962" s="26"/>
      <c r="U962" s="26"/>
      <c r="V962" s="26"/>
      <c r="W962" s="26"/>
      <c r="X962" s="26"/>
      <c r="Y962" s="26"/>
      <c r="Z962" s="26"/>
      <c r="AA962" s="26"/>
      <c r="AB962" s="26"/>
      <c r="AC962" s="26"/>
      <c r="AD962" s="26"/>
      <c r="AE962" s="26"/>
      <c r="AF962" s="26"/>
      <c r="AG962" s="26"/>
      <c r="AH962" s="26"/>
    </row>
    <row r="963" spans="1:34" ht="15.75" customHeight="1">
      <c r="A963" s="26"/>
      <c r="B963" s="26"/>
      <c r="C963" s="26"/>
      <c r="D963" s="26"/>
      <c r="E963" s="26"/>
      <c r="F963" s="26"/>
      <c r="G963" s="26"/>
      <c r="H963" s="26"/>
      <c r="I963" s="26"/>
      <c r="J963" s="26"/>
      <c r="K963" s="56"/>
      <c r="L963" s="26"/>
      <c r="M963" s="26"/>
      <c r="N963" s="26"/>
      <c r="O963" s="26"/>
      <c r="P963" s="26"/>
      <c r="Q963" s="26"/>
      <c r="R963" s="26"/>
      <c r="S963" s="26"/>
      <c r="T963" s="26"/>
      <c r="U963" s="26"/>
      <c r="V963" s="26"/>
      <c r="W963" s="26"/>
      <c r="X963" s="26"/>
      <c r="Y963" s="26"/>
      <c r="Z963" s="26"/>
      <c r="AA963" s="26"/>
      <c r="AB963" s="26"/>
      <c r="AC963" s="26"/>
      <c r="AD963" s="26"/>
      <c r="AE963" s="26"/>
      <c r="AF963" s="26"/>
      <c r="AG963" s="26"/>
      <c r="AH963" s="26"/>
    </row>
    <row r="964" spans="1:34" ht="15.75" customHeight="1">
      <c r="A964" s="26"/>
      <c r="B964" s="26"/>
      <c r="C964" s="26"/>
      <c r="D964" s="26"/>
      <c r="E964" s="26"/>
      <c r="F964" s="26"/>
      <c r="G964" s="26"/>
      <c r="H964" s="26"/>
      <c r="I964" s="26"/>
      <c r="J964" s="26"/>
      <c r="K964" s="56"/>
      <c r="L964" s="26"/>
      <c r="M964" s="26"/>
      <c r="N964" s="26"/>
      <c r="O964" s="26"/>
      <c r="P964" s="26"/>
      <c r="Q964" s="26"/>
      <c r="R964" s="26"/>
      <c r="S964" s="26"/>
      <c r="T964" s="26"/>
      <c r="U964" s="26"/>
      <c r="V964" s="26"/>
      <c r="W964" s="26"/>
      <c r="X964" s="26"/>
      <c r="Y964" s="26"/>
      <c r="Z964" s="26"/>
      <c r="AA964" s="26"/>
      <c r="AB964" s="26"/>
      <c r="AC964" s="26"/>
      <c r="AD964" s="26"/>
      <c r="AE964" s="26"/>
      <c r="AF964" s="26"/>
      <c r="AG964" s="26"/>
      <c r="AH964" s="26"/>
    </row>
    <row r="965" spans="1:34" ht="15.75" customHeight="1">
      <c r="A965" s="26"/>
      <c r="B965" s="26"/>
      <c r="C965" s="26"/>
      <c r="D965" s="26"/>
      <c r="E965" s="26"/>
      <c r="F965" s="26"/>
      <c r="G965" s="26"/>
      <c r="H965" s="26"/>
      <c r="I965" s="26"/>
      <c r="J965" s="26"/>
      <c r="K965" s="56"/>
      <c r="L965" s="26"/>
      <c r="M965" s="26"/>
      <c r="N965" s="26"/>
      <c r="O965" s="26"/>
      <c r="P965" s="26"/>
      <c r="Q965" s="26"/>
      <c r="R965" s="26"/>
      <c r="S965" s="26"/>
      <c r="T965" s="26"/>
      <c r="U965" s="26"/>
      <c r="V965" s="26"/>
      <c r="W965" s="26"/>
      <c r="X965" s="26"/>
      <c r="Y965" s="26"/>
      <c r="Z965" s="26"/>
      <c r="AA965" s="26"/>
      <c r="AB965" s="26"/>
      <c r="AC965" s="26"/>
      <c r="AD965" s="26"/>
      <c r="AE965" s="26"/>
      <c r="AF965" s="26"/>
      <c r="AG965" s="26"/>
      <c r="AH965" s="26"/>
    </row>
    <row r="966" spans="1:34" ht="15.75" customHeight="1">
      <c r="A966" s="26"/>
      <c r="B966" s="26"/>
      <c r="C966" s="26"/>
      <c r="D966" s="26"/>
      <c r="E966" s="26"/>
      <c r="F966" s="26"/>
      <c r="G966" s="26"/>
      <c r="H966" s="26"/>
      <c r="I966" s="26"/>
      <c r="J966" s="26"/>
      <c r="K966" s="56"/>
      <c r="L966" s="26"/>
      <c r="M966" s="26"/>
      <c r="N966" s="26"/>
      <c r="O966" s="26"/>
      <c r="P966" s="26"/>
      <c r="Q966" s="26"/>
      <c r="R966" s="26"/>
      <c r="S966" s="26"/>
      <c r="T966" s="26"/>
      <c r="U966" s="26"/>
      <c r="V966" s="26"/>
      <c r="W966" s="26"/>
      <c r="X966" s="26"/>
      <c r="Y966" s="26"/>
      <c r="Z966" s="26"/>
      <c r="AA966" s="26"/>
      <c r="AB966" s="26"/>
      <c r="AC966" s="26"/>
      <c r="AD966" s="26"/>
      <c r="AE966" s="26"/>
      <c r="AF966" s="26"/>
      <c r="AG966" s="26"/>
      <c r="AH966" s="26"/>
    </row>
    <row r="967" spans="1:34" ht="15.75" customHeight="1">
      <c r="A967" s="26"/>
      <c r="B967" s="26"/>
      <c r="C967" s="26"/>
      <c r="D967" s="26"/>
      <c r="E967" s="26"/>
      <c r="F967" s="26"/>
      <c r="G967" s="26"/>
      <c r="H967" s="26"/>
      <c r="I967" s="26"/>
      <c r="J967" s="26"/>
      <c r="K967" s="56"/>
      <c r="L967" s="26"/>
      <c r="M967" s="26"/>
      <c r="N967" s="26"/>
      <c r="O967" s="26"/>
      <c r="P967" s="26"/>
      <c r="Q967" s="26"/>
      <c r="R967" s="26"/>
      <c r="S967" s="26"/>
      <c r="T967" s="26"/>
      <c r="U967" s="26"/>
      <c r="V967" s="26"/>
      <c r="W967" s="26"/>
      <c r="X967" s="26"/>
      <c r="Y967" s="26"/>
      <c r="Z967" s="26"/>
      <c r="AA967" s="26"/>
      <c r="AB967" s="26"/>
      <c r="AC967" s="26"/>
      <c r="AD967" s="26"/>
      <c r="AE967" s="26"/>
      <c r="AF967" s="26"/>
      <c r="AG967" s="26"/>
      <c r="AH967" s="26"/>
    </row>
    <row r="968" spans="1:34" ht="15.75" customHeight="1">
      <c r="A968" s="26"/>
      <c r="B968" s="26"/>
      <c r="C968" s="26"/>
      <c r="D968" s="26"/>
      <c r="E968" s="26"/>
      <c r="F968" s="26"/>
      <c r="G968" s="26"/>
      <c r="H968" s="26"/>
      <c r="I968" s="26"/>
      <c r="J968" s="26"/>
      <c r="K968" s="56"/>
      <c r="L968" s="26"/>
      <c r="M968" s="26"/>
      <c r="N968" s="26"/>
      <c r="O968" s="26"/>
      <c r="P968" s="26"/>
      <c r="Q968" s="26"/>
      <c r="R968" s="26"/>
      <c r="S968" s="26"/>
      <c r="T968" s="26"/>
      <c r="U968" s="26"/>
      <c r="V968" s="26"/>
      <c r="W968" s="26"/>
      <c r="X968" s="26"/>
      <c r="Y968" s="26"/>
      <c r="Z968" s="26"/>
      <c r="AA968" s="26"/>
      <c r="AB968" s="26"/>
      <c r="AC968" s="26"/>
      <c r="AD968" s="26"/>
      <c r="AE968" s="26"/>
      <c r="AF968" s="26"/>
      <c r="AG968" s="26"/>
      <c r="AH968" s="26"/>
    </row>
    <row r="969" spans="1:34" ht="15.75" customHeight="1">
      <c r="A969" s="26"/>
      <c r="B969" s="26"/>
      <c r="C969" s="26"/>
      <c r="D969" s="26"/>
      <c r="E969" s="26"/>
      <c r="F969" s="26"/>
      <c r="G969" s="26"/>
      <c r="H969" s="26"/>
      <c r="I969" s="26"/>
      <c r="J969" s="26"/>
      <c r="K969" s="56"/>
      <c r="L969" s="26"/>
      <c r="M969" s="26"/>
      <c r="N969" s="26"/>
      <c r="O969" s="26"/>
      <c r="P969" s="26"/>
      <c r="Q969" s="26"/>
      <c r="R969" s="26"/>
      <c r="S969" s="26"/>
      <c r="T969" s="26"/>
      <c r="U969" s="26"/>
      <c r="V969" s="26"/>
      <c r="W969" s="26"/>
      <c r="X969" s="26"/>
      <c r="Y969" s="26"/>
      <c r="Z969" s="26"/>
      <c r="AA969" s="26"/>
      <c r="AB969" s="26"/>
      <c r="AC969" s="26"/>
      <c r="AD969" s="26"/>
      <c r="AE969" s="26"/>
      <c r="AF969" s="26"/>
      <c r="AG969" s="26"/>
      <c r="AH969" s="26"/>
    </row>
    <row r="970" spans="1:34" ht="15.75" customHeight="1">
      <c r="A970" s="26"/>
      <c r="B970" s="26"/>
      <c r="C970" s="26"/>
      <c r="D970" s="26"/>
      <c r="E970" s="26"/>
      <c r="F970" s="26"/>
      <c r="G970" s="26"/>
      <c r="H970" s="26"/>
      <c r="I970" s="26"/>
      <c r="J970" s="26"/>
      <c r="K970" s="56"/>
      <c r="L970" s="26"/>
      <c r="M970" s="26"/>
      <c r="N970" s="26"/>
      <c r="O970" s="26"/>
      <c r="P970" s="26"/>
      <c r="Q970" s="26"/>
      <c r="R970" s="26"/>
      <c r="S970" s="26"/>
      <c r="T970" s="26"/>
      <c r="U970" s="26"/>
      <c r="V970" s="26"/>
      <c r="W970" s="26"/>
      <c r="X970" s="26"/>
      <c r="Y970" s="26"/>
      <c r="Z970" s="26"/>
      <c r="AA970" s="26"/>
      <c r="AB970" s="26"/>
      <c r="AC970" s="26"/>
      <c r="AD970" s="26"/>
      <c r="AE970" s="26"/>
      <c r="AF970" s="26"/>
      <c r="AG970" s="26"/>
      <c r="AH970" s="26"/>
    </row>
    <row r="971" spans="1:34" ht="15.75" customHeight="1">
      <c r="A971" s="26"/>
      <c r="B971" s="26"/>
      <c r="C971" s="26"/>
      <c r="D971" s="26"/>
      <c r="E971" s="26"/>
      <c r="F971" s="26"/>
      <c r="G971" s="26"/>
      <c r="H971" s="26"/>
      <c r="I971" s="26"/>
      <c r="J971" s="26"/>
      <c r="K971" s="56"/>
      <c r="L971" s="26"/>
      <c r="M971" s="26"/>
      <c r="N971" s="26"/>
      <c r="O971" s="26"/>
      <c r="P971" s="26"/>
      <c r="Q971" s="26"/>
      <c r="R971" s="26"/>
      <c r="S971" s="26"/>
      <c r="T971" s="26"/>
      <c r="U971" s="26"/>
      <c r="V971" s="26"/>
      <c r="W971" s="26"/>
      <c r="X971" s="26"/>
      <c r="Y971" s="26"/>
      <c r="Z971" s="26"/>
      <c r="AA971" s="26"/>
      <c r="AB971" s="26"/>
      <c r="AC971" s="26"/>
      <c r="AD971" s="26"/>
      <c r="AE971" s="26"/>
      <c r="AF971" s="26"/>
      <c r="AG971" s="26"/>
      <c r="AH971" s="26"/>
    </row>
    <row r="972" spans="1:34" ht="15.75" customHeight="1">
      <c r="A972" s="26"/>
      <c r="B972" s="26"/>
      <c r="C972" s="26"/>
      <c r="D972" s="26"/>
      <c r="E972" s="26"/>
      <c r="F972" s="26"/>
      <c r="G972" s="26"/>
      <c r="H972" s="26"/>
      <c r="I972" s="26"/>
      <c r="J972" s="26"/>
      <c r="K972" s="56"/>
      <c r="L972" s="26"/>
      <c r="M972" s="26"/>
      <c r="N972" s="26"/>
      <c r="O972" s="26"/>
      <c r="P972" s="26"/>
      <c r="Q972" s="26"/>
      <c r="R972" s="26"/>
      <c r="S972" s="26"/>
      <c r="T972" s="26"/>
      <c r="U972" s="26"/>
      <c r="V972" s="26"/>
      <c r="W972" s="26"/>
      <c r="X972" s="26"/>
      <c r="Y972" s="26"/>
      <c r="Z972" s="26"/>
      <c r="AA972" s="26"/>
      <c r="AB972" s="26"/>
      <c r="AC972" s="26"/>
      <c r="AD972" s="26"/>
      <c r="AE972" s="26"/>
      <c r="AF972" s="26"/>
      <c r="AG972" s="26"/>
      <c r="AH972" s="26"/>
    </row>
    <row r="973" spans="1:34" ht="15.75" customHeight="1">
      <c r="A973" s="26"/>
      <c r="B973" s="26"/>
      <c r="C973" s="26"/>
      <c r="D973" s="26"/>
      <c r="E973" s="26"/>
      <c r="F973" s="26"/>
      <c r="G973" s="26"/>
      <c r="H973" s="26"/>
      <c r="I973" s="26"/>
      <c r="J973" s="26"/>
      <c r="K973" s="56"/>
      <c r="L973" s="26"/>
      <c r="M973" s="26"/>
      <c r="N973" s="26"/>
      <c r="O973" s="26"/>
      <c r="P973" s="26"/>
      <c r="Q973" s="26"/>
      <c r="R973" s="26"/>
      <c r="S973" s="26"/>
      <c r="T973" s="26"/>
      <c r="U973" s="26"/>
      <c r="V973" s="26"/>
      <c r="W973" s="26"/>
      <c r="X973" s="26"/>
      <c r="Y973" s="26"/>
      <c r="Z973" s="26"/>
      <c r="AA973" s="26"/>
      <c r="AB973" s="26"/>
      <c r="AC973" s="26"/>
      <c r="AD973" s="26"/>
      <c r="AE973" s="26"/>
      <c r="AF973" s="26"/>
      <c r="AG973" s="26"/>
      <c r="AH973" s="26"/>
    </row>
    <row r="974" spans="1:34" ht="15.75" customHeight="1">
      <c r="A974" s="26"/>
      <c r="B974" s="26"/>
      <c r="C974" s="26"/>
      <c r="D974" s="26"/>
      <c r="E974" s="26"/>
      <c r="F974" s="26"/>
      <c r="G974" s="26"/>
      <c r="H974" s="26"/>
      <c r="I974" s="26"/>
      <c r="J974" s="26"/>
      <c r="K974" s="56"/>
      <c r="L974" s="26"/>
      <c r="M974" s="26"/>
      <c r="N974" s="26"/>
      <c r="O974" s="26"/>
      <c r="P974" s="26"/>
      <c r="Q974" s="26"/>
      <c r="R974" s="26"/>
      <c r="S974" s="26"/>
      <c r="T974" s="26"/>
      <c r="U974" s="26"/>
      <c r="V974" s="26"/>
      <c r="W974" s="26"/>
      <c r="X974" s="26"/>
      <c r="Y974" s="26"/>
      <c r="Z974" s="26"/>
      <c r="AA974" s="26"/>
      <c r="AB974" s="26"/>
      <c r="AC974" s="26"/>
      <c r="AD974" s="26"/>
      <c r="AE974" s="26"/>
      <c r="AF974" s="26"/>
      <c r="AG974" s="26"/>
      <c r="AH974" s="26"/>
    </row>
    <row r="975" spans="1:34" ht="15.75" customHeight="1">
      <c r="A975" s="26"/>
      <c r="B975" s="26"/>
      <c r="C975" s="26"/>
      <c r="D975" s="26"/>
      <c r="E975" s="26"/>
      <c r="F975" s="26"/>
      <c r="G975" s="26"/>
      <c r="H975" s="26"/>
      <c r="I975" s="26"/>
      <c r="J975" s="26"/>
      <c r="K975" s="56"/>
      <c r="L975" s="26"/>
      <c r="M975" s="26"/>
      <c r="N975" s="26"/>
      <c r="O975" s="26"/>
      <c r="P975" s="26"/>
      <c r="Q975" s="26"/>
      <c r="R975" s="26"/>
      <c r="S975" s="26"/>
      <c r="T975" s="26"/>
      <c r="U975" s="26"/>
      <c r="V975" s="26"/>
      <c r="W975" s="26"/>
      <c r="X975" s="26"/>
      <c r="Y975" s="26"/>
      <c r="Z975" s="26"/>
      <c r="AA975" s="26"/>
      <c r="AB975" s="26"/>
      <c r="AC975" s="26"/>
      <c r="AD975" s="26"/>
      <c r="AE975" s="26"/>
      <c r="AF975" s="26"/>
      <c r="AG975" s="26"/>
      <c r="AH975" s="26"/>
    </row>
    <row r="976" spans="1:34" ht="15.75" customHeight="1">
      <c r="A976" s="26"/>
      <c r="B976" s="26"/>
      <c r="C976" s="26"/>
      <c r="D976" s="26"/>
      <c r="E976" s="26"/>
      <c r="F976" s="26"/>
      <c r="G976" s="26"/>
      <c r="H976" s="26"/>
      <c r="I976" s="26"/>
      <c r="J976" s="26"/>
      <c r="K976" s="56"/>
      <c r="L976" s="26"/>
      <c r="M976" s="26"/>
      <c r="N976" s="26"/>
      <c r="O976" s="26"/>
      <c r="P976" s="26"/>
      <c r="Q976" s="26"/>
      <c r="R976" s="26"/>
      <c r="S976" s="26"/>
      <c r="T976" s="26"/>
      <c r="U976" s="26"/>
      <c r="V976" s="26"/>
      <c r="W976" s="26"/>
      <c r="X976" s="26"/>
      <c r="Y976" s="26"/>
      <c r="Z976" s="26"/>
      <c r="AA976" s="26"/>
      <c r="AB976" s="26"/>
      <c r="AC976" s="26"/>
      <c r="AD976" s="26"/>
      <c r="AE976" s="26"/>
      <c r="AF976" s="26"/>
      <c r="AG976" s="26"/>
      <c r="AH976" s="26"/>
    </row>
    <row r="977" spans="1:34" ht="15.75" customHeight="1">
      <c r="A977" s="26"/>
      <c r="B977" s="26"/>
      <c r="C977" s="26"/>
      <c r="D977" s="26"/>
      <c r="E977" s="26"/>
      <c r="F977" s="26"/>
      <c r="G977" s="26"/>
      <c r="H977" s="26"/>
      <c r="I977" s="26"/>
      <c r="J977" s="26"/>
      <c r="K977" s="56"/>
      <c r="L977" s="26"/>
      <c r="M977" s="26"/>
      <c r="N977" s="26"/>
      <c r="O977" s="26"/>
      <c r="P977" s="26"/>
      <c r="Q977" s="26"/>
      <c r="R977" s="26"/>
      <c r="S977" s="26"/>
      <c r="T977" s="26"/>
      <c r="U977" s="26"/>
      <c r="V977" s="26"/>
      <c r="W977" s="26"/>
      <c r="X977" s="26"/>
      <c r="Y977" s="26"/>
      <c r="Z977" s="26"/>
      <c r="AA977" s="26"/>
      <c r="AB977" s="26"/>
      <c r="AC977" s="26"/>
      <c r="AD977" s="26"/>
      <c r="AE977" s="26"/>
      <c r="AF977" s="26"/>
      <c r="AG977" s="26"/>
      <c r="AH977" s="26"/>
    </row>
    <row r="978" spans="1:34" ht="15.75" customHeight="1">
      <c r="A978" s="26"/>
      <c r="B978" s="26"/>
      <c r="C978" s="26"/>
      <c r="D978" s="26"/>
      <c r="E978" s="26"/>
      <c r="F978" s="26"/>
      <c r="G978" s="26"/>
      <c r="H978" s="26"/>
      <c r="I978" s="26"/>
      <c r="J978" s="26"/>
      <c r="K978" s="56"/>
      <c r="L978" s="26"/>
      <c r="M978" s="26"/>
      <c r="N978" s="26"/>
      <c r="O978" s="26"/>
      <c r="P978" s="26"/>
      <c r="Q978" s="26"/>
      <c r="R978" s="26"/>
      <c r="S978" s="26"/>
      <c r="T978" s="26"/>
      <c r="U978" s="26"/>
      <c r="V978" s="26"/>
      <c r="W978" s="26"/>
      <c r="X978" s="26"/>
      <c r="Y978" s="26"/>
      <c r="Z978" s="26"/>
      <c r="AA978" s="26"/>
      <c r="AB978" s="26"/>
      <c r="AC978" s="26"/>
      <c r="AD978" s="26"/>
      <c r="AE978" s="26"/>
      <c r="AF978" s="26"/>
      <c r="AG978" s="26"/>
      <c r="AH978" s="26"/>
    </row>
    <row r="979" spans="1:34" ht="15.75" customHeight="1">
      <c r="A979" s="26"/>
      <c r="B979" s="26"/>
      <c r="C979" s="26"/>
      <c r="D979" s="26"/>
      <c r="E979" s="26"/>
      <c r="F979" s="26"/>
      <c r="G979" s="26"/>
      <c r="H979" s="26"/>
      <c r="I979" s="26"/>
      <c r="J979" s="26"/>
      <c r="K979" s="56"/>
      <c r="L979" s="26"/>
      <c r="M979" s="26"/>
      <c r="N979" s="26"/>
      <c r="O979" s="26"/>
      <c r="P979" s="26"/>
      <c r="Q979" s="26"/>
      <c r="R979" s="26"/>
      <c r="S979" s="26"/>
      <c r="T979" s="26"/>
      <c r="U979" s="26"/>
      <c r="V979" s="26"/>
      <c r="W979" s="26"/>
      <c r="X979" s="26"/>
      <c r="Y979" s="26"/>
      <c r="Z979" s="26"/>
      <c r="AA979" s="26"/>
      <c r="AB979" s="26"/>
      <c r="AC979" s="26"/>
      <c r="AD979" s="26"/>
      <c r="AE979" s="26"/>
      <c r="AF979" s="26"/>
      <c r="AG979" s="26"/>
      <c r="AH979" s="26"/>
    </row>
    <row r="980" spans="1:34" ht="15.75" customHeight="1">
      <c r="A980" s="26"/>
      <c r="B980" s="26"/>
      <c r="C980" s="26"/>
      <c r="D980" s="26"/>
      <c r="E980" s="26"/>
      <c r="F980" s="26"/>
      <c r="G980" s="26"/>
      <c r="H980" s="26"/>
      <c r="I980" s="26"/>
      <c r="J980" s="26"/>
      <c r="K980" s="56"/>
      <c r="L980" s="26"/>
      <c r="M980" s="26"/>
      <c r="N980" s="26"/>
      <c r="O980" s="26"/>
      <c r="P980" s="26"/>
      <c r="Q980" s="26"/>
      <c r="R980" s="26"/>
      <c r="S980" s="26"/>
      <c r="T980" s="26"/>
      <c r="U980" s="26"/>
      <c r="V980" s="26"/>
      <c r="W980" s="26"/>
      <c r="X980" s="26"/>
      <c r="Y980" s="26"/>
      <c r="Z980" s="26"/>
      <c r="AA980" s="26"/>
      <c r="AB980" s="26"/>
      <c r="AC980" s="26"/>
      <c r="AD980" s="26"/>
      <c r="AE980" s="26"/>
      <c r="AF980" s="26"/>
      <c r="AG980" s="26"/>
      <c r="AH980" s="26"/>
    </row>
    <row r="981" spans="1:34" ht="15.75" customHeight="1">
      <c r="A981" s="26"/>
      <c r="B981" s="26"/>
      <c r="C981" s="26"/>
      <c r="D981" s="26"/>
      <c r="E981" s="26"/>
      <c r="F981" s="26"/>
      <c r="G981" s="26"/>
      <c r="H981" s="26"/>
      <c r="I981" s="26"/>
      <c r="J981" s="26"/>
      <c r="K981" s="56"/>
      <c r="L981" s="26"/>
      <c r="M981" s="26"/>
      <c r="N981" s="26"/>
      <c r="O981" s="26"/>
      <c r="P981" s="26"/>
      <c r="Q981" s="26"/>
      <c r="R981" s="26"/>
      <c r="S981" s="26"/>
      <c r="T981" s="26"/>
      <c r="U981" s="26"/>
      <c r="V981" s="26"/>
      <c r="W981" s="26"/>
      <c r="X981" s="26"/>
      <c r="Y981" s="26"/>
      <c r="Z981" s="26"/>
      <c r="AA981" s="26"/>
      <c r="AB981" s="26"/>
      <c r="AC981" s="26"/>
      <c r="AD981" s="26"/>
      <c r="AE981" s="26"/>
      <c r="AF981" s="26"/>
      <c r="AG981" s="26"/>
      <c r="AH981" s="26"/>
    </row>
    <row r="982" spans="1:34" ht="15.75" customHeight="1">
      <c r="A982" s="26"/>
      <c r="B982" s="26"/>
      <c r="C982" s="26"/>
      <c r="D982" s="26"/>
      <c r="E982" s="26"/>
      <c r="F982" s="26"/>
      <c r="G982" s="26"/>
      <c r="H982" s="26"/>
      <c r="I982" s="26"/>
      <c r="J982" s="26"/>
      <c r="K982" s="56"/>
      <c r="L982" s="26"/>
      <c r="M982" s="26"/>
      <c r="N982" s="26"/>
      <c r="O982" s="26"/>
      <c r="P982" s="26"/>
      <c r="Q982" s="26"/>
      <c r="R982" s="26"/>
      <c r="S982" s="26"/>
      <c r="T982" s="26"/>
      <c r="U982" s="26"/>
      <c r="V982" s="26"/>
      <c r="W982" s="26"/>
      <c r="X982" s="26"/>
      <c r="Y982" s="26"/>
      <c r="Z982" s="26"/>
      <c r="AA982" s="26"/>
      <c r="AB982" s="26"/>
      <c r="AC982" s="26"/>
      <c r="AD982" s="26"/>
      <c r="AE982" s="26"/>
      <c r="AF982" s="26"/>
      <c r="AG982" s="26"/>
      <c r="AH982" s="26"/>
    </row>
    <row r="983" spans="1:34" ht="15.75" customHeight="1">
      <c r="A983" s="26"/>
      <c r="B983" s="26"/>
      <c r="C983" s="26"/>
      <c r="D983" s="26"/>
      <c r="E983" s="26"/>
      <c r="F983" s="26"/>
      <c r="G983" s="26"/>
      <c r="H983" s="26"/>
      <c r="I983" s="26"/>
      <c r="J983" s="26"/>
      <c r="K983" s="56"/>
      <c r="L983" s="26"/>
      <c r="M983" s="26"/>
      <c r="N983" s="26"/>
      <c r="O983" s="26"/>
      <c r="P983" s="26"/>
      <c r="Q983" s="26"/>
      <c r="R983" s="26"/>
      <c r="S983" s="26"/>
      <c r="T983" s="26"/>
      <c r="U983" s="26"/>
      <c r="V983" s="26"/>
      <c r="W983" s="26"/>
      <c r="X983" s="26"/>
      <c r="Y983" s="26"/>
      <c r="Z983" s="26"/>
      <c r="AA983" s="26"/>
      <c r="AB983" s="26"/>
      <c r="AC983" s="26"/>
      <c r="AD983" s="26"/>
      <c r="AE983" s="26"/>
      <c r="AF983" s="26"/>
      <c r="AG983" s="26"/>
      <c r="AH983" s="26"/>
    </row>
    <row r="984" spans="1:34" ht="15.75" customHeight="1">
      <c r="A984" s="26"/>
      <c r="B984" s="26"/>
      <c r="C984" s="26"/>
      <c r="D984" s="26"/>
      <c r="E984" s="26"/>
      <c r="F984" s="26"/>
      <c r="G984" s="26"/>
      <c r="H984" s="26"/>
      <c r="I984" s="26"/>
      <c r="J984" s="26"/>
      <c r="K984" s="56"/>
      <c r="L984" s="26"/>
      <c r="M984" s="26"/>
      <c r="N984" s="26"/>
      <c r="O984" s="26"/>
      <c r="P984" s="26"/>
      <c r="Q984" s="26"/>
      <c r="R984" s="26"/>
      <c r="S984" s="26"/>
      <c r="T984" s="26"/>
      <c r="U984" s="26"/>
      <c r="V984" s="26"/>
      <c r="W984" s="26"/>
      <c r="X984" s="26"/>
      <c r="Y984" s="26"/>
      <c r="Z984" s="26"/>
      <c r="AA984" s="26"/>
      <c r="AB984" s="26"/>
      <c r="AC984" s="26"/>
      <c r="AD984" s="26"/>
      <c r="AE984" s="26"/>
      <c r="AF984" s="26"/>
      <c r="AG984" s="26"/>
      <c r="AH984" s="26"/>
    </row>
    <row r="985" spans="1:34" ht="15.75" customHeight="1">
      <c r="A985" s="26"/>
      <c r="B985" s="26"/>
      <c r="C985" s="26"/>
      <c r="D985" s="26"/>
      <c r="E985" s="26"/>
      <c r="F985" s="26"/>
      <c r="G985" s="26"/>
      <c r="H985" s="26"/>
      <c r="I985" s="26"/>
      <c r="J985" s="26"/>
      <c r="K985" s="56"/>
      <c r="L985" s="26"/>
      <c r="M985" s="26"/>
      <c r="N985" s="26"/>
      <c r="O985" s="26"/>
      <c r="P985" s="26"/>
      <c r="Q985" s="26"/>
      <c r="R985" s="26"/>
      <c r="S985" s="26"/>
      <c r="T985" s="26"/>
      <c r="U985" s="26"/>
      <c r="V985" s="26"/>
      <c r="W985" s="26"/>
      <c r="X985" s="26"/>
      <c r="Y985" s="26"/>
      <c r="Z985" s="26"/>
      <c r="AA985" s="26"/>
      <c r="AB985" s="26"/>
      <c r="AC985" s="26"/>
      <c r="AD985" s="26"/>
      <c r="AE985" s="26"/>
      <c r="AF985" s="26"/>
      <c r="AG985" s="26"/>
      <c r="AH985" s="26"/>
    </row>
    <row r="986" spans="1:34" ht="15.75" customHeight="1">
      <c r="A986" s="26"/>
      <c r="B986" s="26"/>
      <c r="C986" s="26"/>
      <c r="D986" s="26"/>
      <c r="E986" s="26"/>
      <c r="F986" s="26"/>
      <c r="G986" s="26"/>
      <c r="H986" s="26"/>
      <c r="I986" s="26"/>
      <c r="J986" s="26"/>
      <c r="K986" s="56"/>
      <c r="L986" s="26"/>
      <c r="M986" s="26"/>
      <c r="N986" s="26"/>
      <c r="O986" s="26"/>
      <c r="P986" s="26"/>
      <c r="Q986" s="26"/>
      <c r="R986" s="26"/>
      <c r="S986" s="26"/>
      <c r="T986" s="26"/>
      <c r="U986" s="26"/>
      <c r="V986" s="26"/>
      <c r="W986" s="26"/>
      <c r="X986" s="26"/>
      <c r="Y986" s="26"/>
      <c r="Z986" s="26"/>
      <c r="AA986" s="26"/>
      <c r="AB986" s="26"/>
      <c r="AC986" s="26"/>
      <c r="AD986" s="26"/>
      <c r="AE986" s="26"/>
      <c r="AF986" s="26"/>
      <c r="AG986" s="26"/>
      <c r="AH986" s="26"/>
    </row>
    <row r="987" spans="1:34" ht="15.75" customHeight="1">
      <c r="A987" s="26"/>
      <c r="B987" s="26"/>
      <c r="C987" s="26"/>
      <c r="D987" s="26"/>
      <c r="E987" s="26"/>
      <c r="F987" s="26"/>
      <c r="G987" s="26"/>
      <c r="H987" s="26"/>
      <c r="I987" s="26"/>
      <c r="J987" s="26"/>
      <c r="K987" s="56"/>
      <c r="L987" s="26"/>
      <c r="M987" s="26"/>
      <c r="N987" s="26"/>
      <c r="O987" s="26"/>
      <c r="P987" s="26"/>
      <c r="Q987" s="26"/>
      <c r="R987" s="26"/>
      <c r="S987" s="26"/>
      <c r="T987" s="26"/>
      <c r="U987" s="26"/>
      <c r="V987" s="26"/>
      <c r="W987" s="26"/>
      <c r="X987" s="26"/>
      <c r="Y987" s="26"/>
      <c r="Z987" s="26"/>
      <c r="AA987" s="26"/>
      <c r="AB987" s="26"/>
      <c r="AC987" s="26"/>
      <c r="AD987" s="26"/>
      <c r="AE987" s="26"/>
      <c r="AF987" s="26"/>
      <c r="AG987" s="26"/>
      <c r="AH987" s="26"/>
    </row>
    <row r="988" spans="1:34" ht="15.75" customHeight="1">
      <c r="A988" s="26"/>
      <c r="B988" s="26"/>
      <c r="C988" s="26"/>
      <c r="D988" s="26"/>
      <c r="E988" s="26"/>
      <c r="F988" s="26"/>
      <c r="G988" s="26"/>
      <c r="H988" s="26"/>
      <c r="I988" s="26"/>
      <c r="J988" s="26"/>
      <c r="K988" s="56"/>
      <c r="L988" s="26"/>
      <c r="M988" s="26"/>
      <c r="N988" s="26"/>
      <c r="O988" s="26"/>
      <c r="P988" s="26"/>
      <c r="Q988" s="26"/>
      <c r="R988" s="26"/>
      <c r="S988" s="26"/>
      <c r="T988" s="26"/>
      <c r="U988" s="26"/>
      <c r="V988" s="26"/>
      <c r="W988" s="26"/>
      <c r="X988" s="26"/>
      <c r="Y988" s="26"/>
      <c r="Z988" s="26"/>
      <c r="AA988" s="26"/>
      <c r="AB988" s="26"/>
      <c r="AC988" s="26"/>
      <c r="AD988" s="26"/>
      <c r="AE988" s="26"/>
      <c r="AF988" s="26"/>
      <c r="AG988" s="26"/>
      <c r="AH988" s="26"/>
    </row>
    <row r="989" spans="1:34" ht="15.75" customHeight="1">
      <c r="A989" s="26"/>
      <c r="B989" s="26"/>
      <c r="C989" s="26"/>
      <c r="D989" s="26"/>
      <c r="E989" s="26"/>
      <c r="F989" s="26"/>
      <c r="G989" s="26"/>
      <c r="H989" s="26"/>
      <c r="I989" s="26"/>
      <c r="J989" s="26"/>
      <c r="K989" s="56"/>
      <c r="L989" s="26"/>
      <c r="M989" s="26"/>
      <c r="N989" s="26"/>
      <c r="O989" s="26"/>
      <c r="P989" s="26"/>
      <c r="Q989" s="26"/>
      <c r="R989" s="26"/>
      <c r="S989" s="26"/>
      <c r="T989" s="26"/>
      <c r="U989" s="26"/>
      <c r="V989" s="26"/>
      <c r="W989" s="26"/>
      <c r="X989" s="26"/>
      <c r="Y989" s="26"/>
      <c r="Z989" s="26"/>
      <c r="AA989" s="26"/>
      <c r="AB989" s="26"/>
      <c r="AC989" s="26"/>
      <c r="AD989" s="26"/>
      <c r="AE989" s="26"/>
      <c r="AF989" s="26"/>
      <c r="AG989" s="26"/>
      <c r="AH989" s="26"/>
    </row>
    <row r="990" spans="1:34" ht="15.75" customHeight="1">
      <c r="A990" s="26"/>
      <c r="B990" s="26"/>
      <c r="C990" s="26"/>
      <c r="D990" s="26"/>
      <c r="E990" s="26"/>
      <c r="F990" s="26"/>
      <c r="G990" s="26"/>
      <c r="H990" s="26"/>
      <c r="I990" s="26"/>
      <c r="J990" s="26"/>
      <c r="K990" s="56"/>
      <c r="L990" s="26"/>
      <c r="M990" s="26"/>
      <c r="N990" s="26"/>
      <c r="O990" s="26"/>
      <c r="P990" s="26"/>
      <c r="Q990" s="26"/>
      <c r="R990" s="26"/>
      <c r="S990" s="26"/>
      <c r="T990" s="26"/>
      <c r="U990" s="26"/>
      <c r="V990" s="26"/>
      <c r="W990" s="26"/>
      <c r="X990" s="26"/>
      <c r="Y990" s="26"/>
      <c r="Z990" s="26"/>
      <c r="AA990" s="26"/>
      <c r="AB990" s="26"/>
      <c r="AC990" s="26"/>
      <c r="AD990" s="26"/>
      <c r="AE990" s="26"/>
      <c r="AF990" s="26"/>
      <c r="AG990" s="26"/>
      <c r="AH990" s="26"/>
    </row>
    <row r="991" spans="1:34" ht="15.75" customHeight="1">
      <c r="A991" s="26"/>
      <c r="B991" s="26"/>
      <c r="C991" s="26"/>
      <c r="D991" s="26"/>
      <c r="E991" s="26"/>
      <c r="F991" s="26"/>
      <c r="G991" s="26"/>
      <c r="H991" s="26"/>
      <c r="I991" s="26"/>
      <c r="J991" s="26"/>
      <c r="K991" s="56"/>
      <c r="L991" s="26"/>
      <c r="M991" s="26"/>
      <c r="N991" s="26"/>
      <c r="O991" s="26"/>
      <c r="P991" s="26"/>
      <c r="Q991" s="26"/>
      <c r="R991" s="26"/>
      <c r="S991" s="26"/>
      <c r="T991" s="26"/>
      <c r="U991" s="26"/>
      <c r="V991" s="26"/>
      <c r="W991" s="26"/>
      <c r="X991" s="26"/>
      <c r="Y991" s="26"/>
      <c r="Z991" s="26"/>
      <c r="AA991" s="26"/>
      <c r="AB991" s="26"/>
      <c r="AC991" s="26"/>
      <c r="AD991" s="26"/>
      <c r="AE991" s="26"/>
      <c r="AF991" s="26"/>
      <c r="AG991" s="26"/>
      <c r="AH991" s="26"/>
    </row>
    <row r="992" spans="1:34" ht="15.75" customHeight="1">
      <c r="A992" s="26"/>
      <c r="B992" s="26"/>
      <c r="C992" s="26"/>
      <c r="D992" s="26"/>
      <c r="E992" s="26"/>
      <c r="F992" s="26"/>
      <c r="G992" s="26"/>
      <c r="H992" s="26"/>
      <c r="I992" s="26"/>
      <c r="J992" s="26"/>
      <c r="K992" s="56"/>
      <c r="L992" s="26"/>
      <c r="M992" s="26"/>
      <c r="N992" s="26"/>
      <c r="O992" s="26"/>
      <c r="P992" s="26"/>
      <c r="Q992" s="26"/>
      <c r="R992" s="26"/>
      <c r="S992" s="26"/>
      <c r="T992" s="26"/>
      <c r="U992" s="26"/>
      <c r="V992" s="26"/>
      <c r="W992" s="26"/>
      <c r="X992" s="26"/>
      <c r="Y992" s="26"/>
      <c r="Z992" s="26"/>
      <c r="AA992" s="26"/>
      <c r="AB992" s="26"/>
      <c r="AC992" s="26"/>
      <c r="AD992" s="26"/>
      <c r="AE992" s="26"/>
      <c r="AF992" s="26"/>
      <c r="AG992" s="26"/>
      <c r="AH992" s="26"/>
    </row>
    <row r="993" spans="1:34" ht="15.75" customHeight="1">
      <c r="A993" s="26"/>
      <c r="B993" s="26"/>
      <c r="C993" s="26"/>
      <c r="D993" s="26"/>
      <c r="E993" s="26"/>
      <c r="F993" s="26"/>
      <c r="G993" s="26"/>
      <c r="H993" s="26"/>
      <c r="I993" s="26"/>
      <c r="J993" s="26"/>
      <c r="K993" s="56"/>
      <c r="L993" s="26"/>
      <c r="M993" s="26"/>
      <c r="N993" s="26"/>
      <c r="O993" s="26"/>
      <c r="P993" s="26"/>
      <c r="Q993" s="26"/>
      <c r="R993" s="26"/>
      <c r="S993" s="26"/>
      <c r="T993" s="26"/>
      <c r="U993" s="26"/>
      <c r="V993" s="26"/>
      <c r="W993" s="26"/>
      <c r="X993" s="26"/>
      <c r="Y993" s="26"/>
      <c r="Z993" s="26"/>
      <c r="AA993" s="26"/>
      <c r="AB993" s="26"/>
      <c r="AC993" s="26"/>
      <c r="AD993" s="26"/>
      <c r="AE993" s="26"/>
      <c r="AF993" s="26"/>
      <c r="AG993" s="26"/>
      <c r="AH993" s="26"/>
    </row>
    <row r="994" spans="1:34" ht="15.75" customHeight="1">
      <c r="A994" s="26"/>
      <c r="B994" s="26"/>
      <c r="C994" s="26"/>
      <c r="D994" s="26"/>
      <c r="E994" s="26"/>
      <c r="F994" s="26"/>
      <c r="G994" s="26"/>
      <c r="H994" s="26"/>
      <c r="I994" s="26"/>
      <c r="J994" s="26"/>
      <c r="K994" s="56"/>
      <c r="L994" s="26"/>
      <c r="M994" s="26"/>
      <c r="N994" s="26"/>
      <c r="O994" s="26"/>
      <c r="P994" s="26"/>
      <c r="Q994" s="26"/>
      <c r="R994" s="26"/>
      <c r="S994" s="26"/>
      <c r="T994" s="26"/>
      <c r="U994" s="26"/>
      <c r="V994" s="26"/>
      <c r="W994" s="26"/>
      <c r="X994" s="26"/>
      <c r="Y994" s="26"/>
      <c r="Z994" s="26"/>
      <c r="AA994" s="26"/>
      <c r="AB994" s="26"/>
      <c r="AC994" s="26"/>
      <c r="AD994" s="26"/>
      <c r="AE994" s="26"/>
      <c r="AF994" s="26"/>
      <c r="AG994" s="26"/>
      <c r="AH994" s="26"/>
    </row>
    <row r="995" spans="1:34" ht="15.75" customHeight="1">
      <c r="A995" s="26"/>
      <c r="B995" s="26"/>
      <c r="C995" s="26"/>
      <c r="D995" s="26"/>
      <c r="E995" s="26"/>
      <c r="F995" s="26"/>
      <c r="G995" s="26"/>
      <c r="H995" s="26"/>
      <c r="I995" s="26"/>
      <c r="J995" s="26"/>
      <c r="K995" s="56"/>
      <c r="L995" s="26"/>
      <c r="M995" s="26"/>
      <c r="N995" s="26"/>
      <c r="O995" s="26"/>
      <c r="P995" s="26"/>
      <c r="Q995" s="26"/>
      <c r="R995" s="26"/>
      <c r="S995" s="26"/>
      <c r="T995" s="26"/>
      <c r="U995" s="26"/>
      <c r="V995" s="26"/>
      <c r="W995" s="26"/>
      <c r="X995" s="26"/>
      <c r="Y995" s="26"/>
      <c r="Z995" s="26"/>
      <c r="AA995" s="26"/>
      <c r="AB995" s="26"/>
      <c r="AC995" s="26"/>
      <c r="AD995" s="26"/>
      <c r="AE995" s="26"/>
      <c r="AF995" s="26"/>
      <c r="AG995" s="26"/>
      <c r="AH995" s="26"/>
    </row>
    <row r="996" spans="1:34" ht="15.75" customHeight="1">
      <c r="A996" s="26"/>
      <c r="B996" s="26"/>
      <c r="C996" s="26"/>
      <c r="D996" s="26"/>
      <c r="E996" s="26"/>
      <c r="F996" s="26"/>
      <c r="G996" s="26"/>
      <c r="H996" s="26"/>
      <c r="I996" s="26"/>
      <c r="J996" s="26"/>
      <c r="K996" s="56"/>
      <c r="L996" s="26"/>
      <c r="M996" s="26"/>
      <c r="N996" s="26"/>
      <c r="O996" s="26"/>
      <c r="P996" s="26"/>
      <c r="Q996" s="26"/>
      <c r="R996" s="26"/>
      <c r="S996" s="26"/>
      <c r="T996" s="26"/>
      <c r="U996" s="26"/>
      <c r="V996" s="26"/>
      <c r="W996" s="26"/>
      <c r="X996" s="26"/>
      <c r="Y996" s="26"/>
      <c r="Z996" s="26"/>
      <c r="AA996" s="26"/>
      <c r="AB996" s="26"/>
      <c r="AC996" s="26"/>
      <c r="AD996" s="26"/>
      <c r="AE996" s="26"/>
      <c r="AF996" s="26"/>
      <c r="AG996" s="26"/>
      <c r="AH996" s="26"/>
    </row>
    <row r="997" spans="1:34" ht="15.75" customHeight="1">
      <c r="A997" s="26"/>
      <c r="B997" s="26"/>
      <c r="C997" s="26"/>
      <c r="D997" s="26"/>
      <c r="E997" s="26"/>
      <c r="F997" s="26"/>
      <c r="G997" s="26"/>
      <c r="H997" s="26"/>
      <c r="I997" s="26"/>
      <c r="J997" s="26"/>
      <c r="K997" s="56"/>
      <c r="L997" s="26"/>
      <c r="M997" s="26"/>
      <c r="N997" s="26"/>
      <c r="O997" s="26"/>
      <c r="P997" s="26"/>
      <c r="Q997" s="26"/>
      <c r="R997" s="26"/>
      <c r="S997" s="26"/>
      <c r="T997" s="26"/>
      <c r="U997" s="26"/>
      <c r="V997" s="26"/>
      <c r="W997" s="26"/>
      <c r="X997" s="26"/>
      <c r="Y997" s="26"/>
      <c r="Z997" s="26"/>
      <c r="AA997" s="26"/>
      <c r="AB997" s="26"/>
      <c r="AC997" s="26"/>
      <c r="AD997" s="26"/>
      <c r="AE997" s="26"/>
      <c r="AF997" s="26"/>
      <c r="AG997" s="26"/>
      <c r="AH997" s="26"/>
    </row>
    <row r="998" spans="1:34" ht="15.75" customHeight="1">
      <c r="A998" s="26"/>
      <c r="B998" s="26"/>
      <c r="C998" s="26"/>
      <c r="D998" s="26"/>
      <c r="E998" s="26"/>
      <c r="F998" s="26"/>
      <c r="G998" s="26"/>
      <c r="H998" s="26"/>
      <c r="I998" s="26"/>
      <c r="J998" s="26"/>
      <c r="K998" s="56"/>
      <c r="L998" s="26"/>
      <c r="M998" s="26"/>
      <c r="N998" s="26"/>
      <c r="O998" s="26"/>
      <c r="P998" s="26"/>
      <c r="Q998" s="26"/>
      <c r="R998" s="26"/>
      <c r="S998" s="26"/>
      <c r="T998" s="26"/>
      <c r="U998" s="26"/>
      <c r="V998" s="26"/>
      <c r="W998" s="26"/>
      <c r="X998" s="26"/>
      <c r="Y998" s="26"/>
      <c r="Z998" s="26"/>
      <c r="AA998" s="26"/>
      <c r="AB998" s="26"/>
      <c r="AC998" s="26"/>
      <c r="AD998" s="26"/>
      <c r="AE998" s="26"/>
      <c r="AF998" s="26"/>
      <c r="AG998" s="26"/>
      <c r="AH998" s="26"/>
    </row>
    <row r="999" spans="1:34" ht="15.75" customHeight="1">
      <c r="A999" s="26"/>
      <c r="B999" s="26"/>
      <c r="C999" s="26"/>
      <c r="D999" s="26"/>
      <c r="E999" s="26"/>
      <c r="F999" s="26"/>
      <c r="G999" s="26"/>
      <c r="H999" s="26"/>
      <c r="I999" s="26"/>
      <c r="J999" s="26"/>
      <c r="K999" s="56"/>
      <c r="L999" s="26"/>
      <c r="M999" s="26"/>
      <c r="N999" s="26"/>
      <c r="O999" s="26"/>
      <c r="P999" s="26"/>
      <c r="Q999" s="26"/>
      <c r="R999" s="26"/>
      <c r="S999" s="26"/>
      <c r="T999" s="26"/>
      <c r="U999" s="26"/>
      <c r="V999" s="26"/>
      <c r="W999" s="26"/>
      <c r="X999" s="26"/>
      <c r="Y999" s="26"/>
      <c r="Z999" s="26"/>
      <c r="AA999" s="26"/>
      <c r="AB999" s="26"/>
      <c r="AC999" s="26"/>
      <c r="AD999" s="26"/>
      <c r="AE999" s="26"/>
      <c r="AF999" s="26"/>
      <c r="AG999" s="26"/>
      <c r="AH999" s="26"/>
    </row>
    <row r="1000" spans="1:34" ht="15.75" customHeight="1">
      <c r="A1000" s="26"/>
      <c r="B1000" s="26"/>
      <c r="C1000" s="26"/>
      <c r="D1000" s="26"/>
      <c r="E1000" s="26"/>
      <c r="F1000" s="26"/>
      <c r="G1000" s="26"/>
      <c r="H1000" s="26"/>
      <c r="I1000" s="26"/>
      <c r="J1000" s="26"/>
      <c r="K1000" s="56"/>
      <c r="L1000" s="26"/>
      <c r="M1000" s="26"/>
      <c r="N1000" s="26"/>
      <c r="O1000" s="26"/>
      <c r="P1000" s="26"/>
      <c r="Q1000" s="26"/>
      <c r="R1000" s="26"/>
      <c r="S1000" s="26"/>
      <c r="T1000" s="26"/>
      <c r="U1000" s="26"/>
      <c r="V1000" s="26"/>
      <c r="W1000" s="26"/>
      <c r="X1000" s="26"/>
      <c r="Y1000" s="26"/>
      <c r="Z1000" s="26"/>
      <c r="AA1000" s="26"/>
      <c r="AB1000" s="26"/>
      <c r="AC1000" s="26"/>
      <c r="AD1000" s="26"/>
      <c r="AE1000" s="26"/>
      <c r="AF1000" s="26"/>
      <c r="AG1000" s="26"/>
      <c r="AH1000" s="26"/>
    </row>
    <row r="1001" spans="1:34" ht="15.75" customHeight="1">
      <c r="A1001" s="26"/>
      <c r="B1001" s="26"/>
      <c r="C1001" s="26"/>
      <c r="D1001" s="26"/>
      <c r="E1001" s="26"/>
      <c r="F1001" s="26"/>
      <c r="G1001" s="26"/>
      <c r="H1001" s="26"/>
      <c r="I1001" s="26"/>
      <c r="J1001" s="26"/>
      <c r="K1001" s="56"/>
      <c r="L1001" s="26"/>
      <c r="M1001" s="26"/>
      <c r="N1001" s="26"/>
      <c r="O1001" s="26"/>
      <c r="P1001" s="26"/>
      <c r="Q1001" s="26"/>
      <c r="R1001" s="26"/>
      <c r="S1001" s="26"/>
      <c r="T1001" s="26"/>
      <c r="U1001" s="26"/>
      <c r="V1001" s="26"/>
      <c r="W1001" s="26"/>
      <c r="X1001" s="26"/>
      <c r="Y1001" s="26"/>
      <c r="Z1001" s="26"/>
      <c r="AA1001" s="26"/>
      <c r="AB1001" s="26"/>
      <c r="AC1001" s="26"/>
      <c r="AD1001" s="26"/>
      <c r="AE1001" s="26"/>
      <c r="AF1001" s="26"/>
      <c r="AG1001" s="26"/>
      <c r="AH1001" s="26"/>
    </row>
    <row r="1002" spans="1:34" ht="15.75" customHeight="1">
      <c r="A1002" s="26"/>
      <c r="B1002" s="26"/>
      <c r="C1002" s="26"/>
      <c r="D1002" s="26"/>
      <c r="E1002" s="26"/>
      <c r="F1002" s="26"/>
      <c r="G1002" s="26"/>
      <c r="H1002" s="26"/>
      <c r="I1002" s="26"/>
      <c r="J1002" s="26"/>
      <c r="K1002" s="56"/>
      <c r="L1002" s="26"/>
      <c r="M1002" s="26"/>
      <c r="N1002" s="26"/>
      <c r="O1002" s="26"/>
      <c r="P1002" s="26"/>
      <c r="Q1002" s="26"/>
      <c r="R1002" s="26"/>
      <c r="S1002" s="26"/>
      <c r="T1002" s="26"/>
      <c r="U1002" s="26"/>
      <c r="V1002" s="26"/>
      <c r="W1002" s="26"/>
      <c r="X1002" s="26"/>
      <c r="Y1002" s="26"/>
      <c r="Z1002" s="26"/>
      <c r="AA1002" s="26"/>
      <c r="AB1002" s="26"/>
      <c r="AC1002" s="26"/>
      <c r="AD1002" s="26"/>
      <c r="AE1002" s="26"/>
      <c r="AF1002" s="26"/>
      <c r="AG1002" s="26"/>
      <c r="AH1002" s="26"/>
    </row>
    <row r="1003" spans="1:34" ht="15.75" customHeight="1">
      <c r="A1003" s="26"/>
      <c r="B1003" s="26"/>
      <c r="C1003" s="26"/>
      <c r="D1003" s="26"/>
      <c r="E1003" s="26"/>
      <c r="F1003" s="26"/>
      <c r="G1003" s="26"/>
      <c r="H1003" s="26"/>
      <c r="I1003" s="26"/>
      <c r="J1003" s="26"/>
      <c r="K1003" s="56"/>
      <c r="L1003" s="26"/>
      <c r="M1003" s="26"/>
      <c r="N1003" s="26"/>
      <c r="O1003" s="26"/>
      <c r="P1003" s="26"/>
      <c r="Q1003" s="26"/>
      <c r="R1003" s="26"/>
      <c r="S1003" s="26"/>
      <c r="T1003" s="26"/>
      <c r="U1003" s="26"/>
      <c r="V1003" s="26"/>
      <c r="W1003" s="26"/>
      <c r="X1003" s="26"/>
      <c r="Y1003" s="26"/>
      <c r="Z1003" s="26"/>
      <c r="AA1003" s="26"/>
      <c r="AB1003" s="26"/>
      <c r="AC1003" s="26"/>
      <c r="AD1003" s="26"/>
      <c r="AE1003" s="26"/>
      <c r="AF1003" s="26"/>
      <c r="AG1003" s="26"/>
      <c r="AH1003" s="26"/>
    </row>
  </sheetData>
  <mergeCells count="10">
    <mergeCell ref="A42:J42"/>
    <mergeCell ref="A52:J52"/>
    <mergeCell ref="A59:J59"/>
    <mergeCell ref="A1:J1"/>
    <mergeCell ref="L1:N1"/>
    <mergeCell ref="A4:J4"/>
    <mergeCell ref="A12:J12"/>
    <mergeCell ref="A13:J13"/>
    <mergeCell ref="A25:J25"/>
    <mergeCell ref="A37:J37"/>
  </mergeCells>
  <dataValidations count="4">
    <dataValidation type="list" allowBlank="1" sqref="C60:C69 C5:C11 C14:C24 C38:C41 C26:C36 C43:C51 C53:C58" xr:uid="{00000000-0002-0000-0000-000000000000}">
      <formula1>"HIGH,MEDIUM,LOW,UNKNOWN"</formula1>
    </dataValidation>
    <dataValidation type="list" allowBlank="1" sqref="F5:F11 F14:F24 F26:F36 F38:F41 F43:F47 F49:F51 F53:F58 F60:F1003" xr:uid="{00000000-0002-0000-0000-000001000000}">
      <formula1>"YES,NO,YES+Collaboration"</formula1>
    </dataValidation>
    <dataValidation type="list" allowBlank="1" sqref="E5:E11 E14:E24 E26:E36 E38:E41 E43:E47 E49:E51 E53:E58 E60:E69" xr:uid="{00000000-0002-0000-0000-000002000000}">
      <formula1>"YES,NO,UNKOWN"</formula1>
    </dataValidation>
    <dataValidation type="list" allowBlank="1" sqref="G5:G11 G14:G24 G27:G31 G34 G36 G38:G41 G43:G47 G49:G51 G53:G58 G60:G1003" xr:uid="{00000000-0002-0000-0000-000003000000}">
      <formula1>"YES,NO"</formula1>
    </dataValidation>
  </dataValidations>
  <hyperlinks>
    <hyperlink ref="D6" r:id="rId1" xr:uid="{00000000-0004-0000-0000-000000000000}"/>
    <hyperlink ref="D8" r:id="rId2" xr:uid="{00000000-0004-0000-0000-000001000000}"/>
    <hyperlink ref="D9" r:id="rId3" xr:uid="{00000000-0004-0000-0000-000002000000}"/>
    <hyperlink ref="L9" r:id="rId4" xr:uid="{00000000-0004-0000-0000-000003000000}"/>
    <hyperlink ref="N9" r:id="rId5" xr:uid="{00000000-0004-0000-0000-000004000000}"/>
    <hyperlink ref="R17" r:id="rId6" xr:uid="{00000000-0004-0000-0000-000005000000}"/>
    <hyperlink ref="N20" r:id="rId7" xr:uid="{00000000-0004-0000-0000-000006000000}"/>
    <hyperlink ref="R31" r:id="rId8" xr:uid="{00000000-0004-0000-0000-000007000000}"/>
    <hyperlink ref="L40" r:id="rId9" xr:uid="{00000000-0004-0000-0000-000008000000}"/>
    <hyperlink ref="D43" r:id="rId10" xr:uid="{00000000-0004-0000-0000-000009000000}"/>
    <hyperlink ref="L43" r:id="rId11" xr:uid="{00000000-0004-0000-0000-00000A000000}"/>
    <hyperlink ref="N43" r:id="rId12" xr:uid="{00000000-0004-0000-0000-00000B000000}"/>
    <hyperlink ref="D44" r:id="rId13" xr:uid="{00000000-0004-0000-0000-00000C000000}"/>
    <hyperlink ref="L44" r:id="rId14" xr:uid="{00000000-0004-0000-0000-00000D000000}"/>
    <hyperlink ref="N50" r:id="rId15" xr:uid="{00000000-0004-0000-0000-00000E000000}"/>
    <hyperlink ref="N61" r:id="rId16" xr:uid="{00000000-0004-0000-0000-00000F000000}"/>
    <hyperlink ref="N62" r:id="rId17" xr:uid="{00000000-0004-0000-0000-000010000000}"/>
  </hyperlinks>
  <pageMargins left="0.7" right="0.7" top="0.75" bottom="0.75" header="0" footer="0"/>
  <pageSetup paperSize="3" fitToHeight="0" orientation="landscape"/>
  <legacy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1000"/>
  <sheetViews>
    <sheetView workbookViewId="0">
      <selection activeCell="B5" sqref="B5"/>
    </sheetView>
  </sheetViews>
  <sheetFormatPr defaultColWidth="12.625" defaultRowHeight="15" customHeight="1"/>
  <cols>
    <col min="1" max="1" width="24.375" customWidth="1"/>
    <col min="2" max="2" width="104.625" customWidth="1"/>
    <col min="3" max="3" width="33.375" customWidth="1"/>
    <col min="4" max="4" width="35.875" customWidth="1"/>
    <col min="5" max="5" width="17.75" customWidth="1"/>
    <col min="6" max="6" width="7.625" customWidth="1"/>
    <col min="7" max="8" width="9.625" customWidth="1"/>
    <col min="9" max="9" width="11.5" customWidth="1"/>
    <col min="10" max="25" width="7.625" customWidth="1"/>
  </cols>
  <sheetData>
    <row r="1" spans="1:25" ht="25.5" customHeight="1">
      <c r="A1" s="3" t="s">
        <v>426</v>
      </c>
      <c r="B1" s="22"/>
      <c r="C1" s="22"/>
      <c r="D1" s="4"/>
      <c r="E1" s="4"/>
      <c r="F1" s="22"/>
      <c r="G1" s="22"/>
      <c r="H1" s="22"/>
      <c r="I1" s="22"/>
      <c r="J1" s="22"/>
      <c r="K1" s="22"/>
      <c r="L1" s="22"/>
      <c r="M1" s="22"/>
      <c r="N1" s="22"/>
      <c r="O1" s="22"/>
      <c r="P1" s="22"/>
      <c r="Q1" s="22"/>
      <c r="R1" s="22"/>
      <c r="S1" s="22"/>
      <c r="T1" s="22"/>
      <c r="U1" s="22"/>
      <c r="V1" s="22"/>
      <c r="W1" s="22"/>
      <c r="X1" s="22"/>
      <c r="Y1" s="22"/>
    </row>
    <row r="2" spans="1:25" ht="15.75" customHeight="1">
      <c r="A2" s="5"/>
      <c r="B2" s="5"/>
      <c r="C2" s="5"/>
      <c r="D2" s="6"/>
      <c r="E2" s="6"/>
      <c r="F2" s="7"/>
      <c r="G2" s="7"/>
      <c r="H2" s="7"/>
      <c r="I2" s="7"/>
      <c r="J2" s="7"/>
      <c r="K2" s="7"/>
      <c r="L2" s="7"/>
      <c r="M2" s="7"/>
      <c r="N2" s="7"/>
      <c r="O2" s="7"/>
      <c r="P2" s="7"/>
      <c r="Q2" s="7"/>
      <c r="R2" s="7"/>
      <c r="S2" s="7"/>
      <c r="T2" s="7"/>
      <c r="U2" s="7"/>
      <c r="V2" s="7"/>
      <c r="W2" s="7"/>
      <c r="X2" s="7"/>
      <c r="Y2" s="7"/>
    </row>
    <row r="3" spans="1:25" ht="15.75" customHeight="1">
      <c r="A3" s="8" t="s">
        <v>427</v>
      </c>
      <c r="B3" s="8" t="s">
        <v>428</v>
      </c>
      <c r="C3" s="9"/>
      <c r="D3" s="9"/>
      <c r="E3" s="9"/>
      <c r="F3" s="7"/>
      <c r="G3" s="7"/>
      <c r="H3" s="7"/>
      <c r="I3" s="7"/>
      <c r="J3" s="7"/>
      <c r="K3" s="7"/>
      <c r="L3" s="7"/>
      <c r="M3" s="7"/>
      <c r="N3" s="7"/>
      <c r="O3" s="7"/>
      <c r="P3" s="7"/>
      <c r="Q3" s="7"/>
      <c r="R3" s="7"/>
      <c r="S3" s="7"/>
      <c r="T3" s="7"/>
      <c r="U3" s="7"/>
      <c r="V3" s="7"/>
      <c r="W3" s="7"/>
      <c r="X3" s="7"/>
      <c r="Y3" s="7"/>
    </row>
    <row r="4" spans="1:25" ht="81.75" customHeight="1">
      <c r="A4" s="10" t="s">
        <v>429</v>
      </c>
      <c r="B4" s="13" t="s">
        <v>430</v>
      </c>
      <c r="C4" s="11"/>
      <c r="D4" s="7"/>
      <c r="E4" s="7"/>
      <c r="F4" s="7"/>
      <c r="G4" s="7"/>
      <c r="H4" s="7"/>
      <c r="I4" s="7"/>
      <c r="J4" s="7"/>
      <c r="K4" s="7"/>
      <c r="L4" s="7"/>
      <c r="M4" s="7"/>
      <c r="N4" s="7"/>
      <c r="O4" s="7"/>
      <c r="P4" s="7"/>
      <c r="Q4" s="7"/>
      <c r="R4" s="7"/>
      <c r="S4" s="7"/>
      <c r="T4" s="7"/>
      <c r="U4" s="7"/>
      <c r="V4" s="7"/>
      <c r="W4" s="7"/>
      <c r="X4" s="7"/>
      <c r="Y4" s="7"/>
    </row>
    <row r="5" spans="1:25" ht="54">
      <c r="A5" s="10" t="s">
        <v>431</v>
      </c>
      <c r="B5" s="13" t="s">
        <v>432</v>
      </c>
      <c r="C5" s="11"/>
      <c r="D5" s="7"/>
      <c r="E5" s="7"/>
      <c r="F5" s="7"/>
      <c r="G5" s="7"/>
      <c r="H5" s="7"/>
      <c r="I5" s="7"/>
      <c r="J5" s="7"/>
      <c r="K5" s="7"/>
      <c r="L5" s="7"/>
      <c r="M5" s="7"/>
      <c r="N5" s="7"/>
      <c r="O5" s="7"/>
      <c r="P5" s="7"/>
      <c r="Q5" s="7"/>
      <c r="R5" s="7"/>
      <c r="S5" s="7"/>
      <c r="T5" s="7"/>
      <c r="U5" s="7"/>
      <c r="V5" s="7"/>
      <c r="W5" s="7"/>
      <c r="X5" s="7"/>
      <c r="Y5" s="7"/>
    </row>
    <row r="6" spans="1:25" ht="75">
      <c r="A6" s="10" t="s">
        <v>433</v>
      </c>
      <c r="B6" s="12" t="s">
        <v>434</v>
      </c>
      <c r="C6" s="12"/>
      <c r="D6" s="12"/>
      <c r="E6" s="12"/>
      <c r="F6" s="12"/>
      <c r="G6" s="12"/>
      <c r="H6" s="12"/>
      <c r="I6" s="12"/>
      <c r="J6" s="12"/>
      <c r="K6" s="12"/>
      <c r="L6" s="12"/>
      <c r="M6" s="12"/>
      <c r="N6" s="12"/>
      <c r="O6" s="12"/>
      <c r="P6" s="12"/>
      <c r="Q6" s="12"/>
      <c r="R6" s="12"/>
      <c r="S6" s="12"/>
      <c r="T6" s="12"/>
      <c r="U6" s="12"/>
      <c r="V6" s="12"/>
      <c r="W6" s="12"/>
      <c r="X6" s="12"/>
      <c r="Y6" s="12"/>
    </row>
    <row r="7" spans="1:25" ht="60">
      <c r="A7" s="10" t="s">
        <v>435</v>
      </c>
      <c r="B7" s="12" t="s">
        <v>436</v>
      </c>
      <c r="C7" s="23"/>
      <c r="D7" s="7"/>
      <c r="E7" s="7"/>
      <c r="F7" s="7"/>
      <c r="G7" s="7"/>
      <c r="H7" s="7"/>
      <c r="I7" s="7"/>
      <c r="J7" s="7"/>
      <c r="K7" s="7"/>
      <c r="L7" s="7"/>
      <c r="M7" s="7"/>
      <c r="N7" s="7"/>
      <c r="O7" s="7"/>
      <c r="P7" s="7"/>
      <c r="Q7" s="7"/>
      <c r="R7" s="7"/>
      <c r="S7" s="7"/>
      <c r="T7" s="7"/>
      <c r="U7" s="7"/>
      <c r="V7" s="7"/>
      <c r="W7" s="7"/>
      <c r="X7" s="7"/>
      <c r="Y7" s="7"/>
    </row>
    <row r="8" spans="1:25" ht="15.75" customHeight="1">
      <c r="A8" s="13"/>
      <c r="B8" s="7"/>
      <c r="C8" s="23"/>
      <c r="D8" s="7"/>
      <c r="E8" s="7"/>
      <c r="F8" s="7"/>
      <c r="G8" s="7"/>
      <c r="H8" s="7"/>
      <c r="I8" s="7"/>
      <c r="J8" s="7"/>
      <c r="K8" s="7"/>
      <c r="L8" s="7"/>
      <c r="M8" s="7"/>
      <c r="N8" s="7"/>
      <c r="O8" s="7"/>
      <c r="P8" s="7"/>
      <c r="Q8" s="7"/>
      <c r="R8" s="7"/>
      <c r="S8" s="7"/>
      <c r="T8" s="7"/>
      <c r="U8" s="7"/>
      <c r="V8" s="7"/>
      <c r="W8" s="7"/>
      <c r="X8" s="7"/>
      <c r="Y8" s="7"/>
    </row>
    <row r="9" spans="1:25" ht="180" customHeight="1">
      <c r="A9" s="14" t="s">
        <v>437</v>
      </c>
      <c r="B9" s="1" t="s">
        <v>438</v>
      </c>
      <c r="C9" s="23"/>
      <c r="D9" s="7"/>
      <c r="E9" s="7"/>
      <c r="F9" s="7"/>
      <c r="G9" s="7"/>
      <c r="H9" s="7"/>
      <c r="I9" s="7"/>
      <c r="J9" s="7"/>
      <c r="K9" s="7"/>
      <c r="L9" s="7"/>
      <c r="M9" s="7"/>
      <c r="N9" s="7"/>
      <c r="O9" s="7"/>
      <c r="P9" s="7"/>
      <c r="Q9" s="7"/>
      <c r="R9" s="7"/>
      <c r="S9" s="7"/>
      <c r="T9" s="7"/>
      <c r="U9" s="7"/>
      <c r="V9" s="7"/>
      <c r="W9" s="7"/>
      <c r="X9" s="7"/>
      <c r="Y9" s="7"/>
    </row>
    <row r="10" spans="1:25" ht="15.75" customHeight="1">
      <c r="A10" s="13"/>
      <c r="B10" s="7"/>
      <c r="C10" s="23"/>
      <c r="D10" s="7"/>
      <c r="E10" s="7"/>
      <c r="F10" s="7"/>
      <c r="G10" s="7"/>
      <c r="H10" s="7"/>
      <c r="I10" s="7"/>
      <c r="J10" s="7"/>
      <c r="K10" s="7"/>
      <c r="L10" s="7"/>
      <c r="M10" s="7"/>
      <c r="N10" s="7"/>
      <c r="O10" s="7"/>
      <c r="P10" s="7"/>
      <c r="Q10" s="7"/>
      <c r="R10" s="7"/>
      <c r="S10" s="7"/>
      <c r="T10" s="7"/>
      <c r="U10" s="7"/>
      <c r="V10" s="7"/>
      <c r="W10" s="7"/>
      <c r="X10" s="7"/>
      <c r="Y10" s="7"/>
    </row>
    <row r="11" spans="1:25" ht="15.75" customHeight="1">
      <c r="A11" s="13"/>
      <c r="B11" s="7"/>
      <c r="C11" s="23"/>
      <c r="D11" s="7"/>
      <c r="E11" s="7"/>
      <c r="F11" s="7"/>
      <c r="G11" s="7"/>
      <c r="H11" s="7"/>
      <c r="I11" s="7"/>
      <c r="J11" s="7"/>
      <c r="K11" s="7"/>
      <c r="L11" s="7"/>
      <c r="M11" s="7"/>
      <c r="N11" s="7"/>
      <c r="O11" s="7"/>
      <c r="P11" s="7"/>
      <c r="Q11" s="7"/>
      <c r="R11" s="7"/>
      <c r="S11" s="7"/>
      <c r="T11" s="7"/>
      <c r="U11" s="7"/>
      <c r="V11" s="7"/>
      <c r="W11" s="7"/>
      <c r="X11" s="7"/>
      <c r="Y11" s="7"/>
    </row>
    <row r="12" spans="1:25" ht="15.75" customHeight="1">
      <c r="A12" s="13"/>
      <c r="B12" s="7"/>
      <c r="C12" s="23"/>
      <c r="D12" s="7"/>
      <c r="E12" s="7"/>
      <c r="F12" s="7"/>
      <c r="G12" s="7"/>
      <c r="H12" s="7"/>
      <c r="I12" s="7"/>
      <c r="J12" s="7"/>
      <c r="K12" s="7"/>
      <c r="L12" s="7"/>
      <c r="M12" s="7"/>
      <c r="N12" s="7"/>
      <c r="O12" s="7"/>
      <c r="P12" s="7"/>
      <c r="Q12" s="7"/>
      <c r="R12" s="7"/>
      <c r="S12" s="7"/>
      <c r="T12" s="7"/>
      <c r="U12" s="7"/>
      <c r="V12" s="7"/>
      <c r="W12" s="7"/>
      <c r="X12" s="7"/>
      <c r="Y12" s="7"/>
    </row>
    <row r="13" spans="1:25" ht="15.75" customHeight="1">
      <c r="A13" s="13"/>
      <c r="B13" s="7"/>
      <c r="C13" s="23"/>
      <c r="D13" s="7"/>
      <c r="E13" s="7"/>
      <c r="F13" s="7"/>
      <c r="G13" s="7"/>
      <c r="H13" s="7"/>
      <c r="I13" s="7"/>
      <c r="J13" s="7"/>
      <c r="K13" s="7"/>
      <c r="L13" s="7"/>
      <c r="M13" s="7"/>
      <c r="N13" s="7"/>
      <c r="O13" s="7"/>
      <c r="P13" s="7"/>
      <c r="Q13" s="7"/>
      <c r="R13" s="7"/>
      <c r="S13" s="7"/>
      <c r="T13" s="7"/>
      <c r="U13" s="7"/>
      <c r="V13" s="7"/>
      <c r="W13" s="7"/>
      <c r="X13" s="7"/>
      <c r="Y13" s="7"/>
    </row>
    <row r="14" spans="1:25" ht="15.75" customHeight="1">
      <c r="A14" s="13"/>
      <c r="B14" s="7"/>
      <c r="C14" s="23"/>
      <c r="D14" s="7"/>
      <c r="E14" s="7"/>
      <c r="F14" s="7"/>
      <c r="G14" s="7"/>
      <c r="H14" s="7"/>
      <c r="I14" s="7"/>
      <c r="J14" s="7"/>
      <c r="K14" s="7"/>
      <c r="L14" s="7"/>
      <c r="M14" s="7"/>
      <c r="N14" s="7"/>
      <c r="O14" s="7"/>
      <c r="P14" s="7"/>
      <c r="Q14" s="7"/>
      <c r="R14" s="7"/>
      <c r="S14" s="7"/>
      <c r="T14" s="7"/>
      <c r="U14" s="7"/>
      <c r="V14" s="7"/>
      <c r="W14" s="7"/>
      <c r="X14" s="7"/>
      <c r="Y14" s="7"/>
    </row>
    <row r="15" spans="1:25" ht="15.75" customHeight="1">
      <c r="A15" s="13"/>
      <c r="B15" s="7"/>
      <c r="C15" s="23"/>
      <c r="D15" s="7"/>
      <c r="E15" s="7"/>
      <c r="F15" s="7"/>
      <c r="G15" s="7"/>
      <c r="H15" s="7"/>
      <c r="I15" s="7"/>
      <c r="J15" s="7"/>
      <c r="K15" s="7"/>
      <c r="L15" s="7"/>
      <c r="M15" s="7"/>
      <c r="N15" s="7"/>
      <c r="O15" s="7"/>
      <c r="P15" s="7"/>
      <c r="Q15" s="7"/>
      <c r="R15" s="7"/>
      <c r="S15" s="7"/>
      <c r="T15" s="7"/>
      <c r="U15" s="7"/>
      <c r="V15" s="7"/>
      <c r="W15" s="7"/>
      <c r="X15" s="7"/>
      <c r="Y15" s="7"/>
    </row>
    <row r="16" spans="1:25" ht="15.75" customHeight="1">
      <c r="A16" s="13"/>
      <c r="B16" s="7"/>
      <c r="C16" s="23"/>
      <c r="D16" s="7"/>
      <c r="E16" s="7"/>
      <c r="F16" s="7"/>
      <c r="G16" s="7"/>
      <c r="H16" s="7"/>
      <c r="I16" s="7"/>
      <c r="J16" s="7"/>
      <c r="K16" s="7"/>
      <c r="L16" s="7"/>
      <c r="M16" s="7"/>
      <c r="N16" s="7"/>
      <c r="O16" s="7"/>
      <c r="P16" s="7"/>
      <c r="Q16" s="7"/>
      <c r="R16" s="7"/>
      <c r="S16" s="7"/>
      <c r="T16" s="7"/>
      <c r="U16" s="7"/>
      <c r="V16" s="7"/>
      <c r="W16" s="7"/>
      <c r="X16" s="7"/>
      <c r="Y16" s="7"/>
    </row>
    <row r="17" spans="1:25" ht="15.75" customHeight="1">
      <c r="A17" s="13"/>
      <c r="B17" s="7"/>
      <c r="C17" s="23"/>
      <c r="D17" s="7"/>
      <c r="E17" s="7"/>
      <c r="F17" s="7"/>
      <c r="G17" s="7"/>
      <c r="H17" s="7"/>
      <c r="I17" s="7"/>
      <c r="J17" s="7"/>
      <c r="K17" s="7"/>
      <c r="L17" s="7"/>
      <c r="M17" s="7"/>
      <c r="N17" s="7"/>
      <c r="O17" s="7"/>
      <c r="P17" s="7"/>
      <c r="Q17" s="7"/>
      <c r="R17" s="7"/>
      <c r="S17" s="7"/>
      <c r="T17" s="7"/>
      <c r="U17" s="7"/>
      <c r="V17" s="7"/>
      <c r="W17" s="7"/>
      <c r="X17" s="7"/>
      <c r="Y17" s="7"/>
    </row>
    <row r="18" spans="1:25" ht="15.75" customHeight="1">
      <c r="A18" s="13"/>
      <c r="B18" s="7"/>
      <c r="C18" s="23"/>
      <c r="D18" s="7"/>
      <c r="E18" s="7"/>
      <c r="F18" s="7"/>
      <c r="G18" s="7"/>
      <c r="H18" s="7"/>
      <c r="I18" s="7"/>
      <c r="J18" s="7"/>
      <c r="K18" s="7"/>
      <c r="L18" s="7"/>
      <c r="M18" s="7"/>
      <c r="N18" s="7"/>
      <c r="O18" s="7"/>
      <c r="P18" s="7"/>
      <c r="Q18" s="7"/>
      <c r="R18" s="7"/>
      <c r="S18" s="7"/>
      <c r="T18" s="7"/>
      <c r="U18" s="7"/>
      <c r="V18" s="7"/>
      <c r="W18" s="7"/>
      <c r="X18" s="7"/>
      <c r="Y18" s="7"/>
    </row>
    <row r="19" spans="1:25" ht="15.75" customHeight="1">
      <c r="A19" s="13"/>
      <c r="B19" s="7"/>
      <c r="C19" s="23"/>
      <c r="D19" s="7"/>
      <c r="E19" s="7"/>
      <c r="F19" s="7"/>
      <c r="G19" s="7"/>
      <c r="H19" s="7"/>
      <c r="I19" s="7"/>
      <c r="J19" s="7"/>
      <c r="K19" s="7"/>
      <c r="L19" s="7"/>
      <c r="M19" s="7"/>
      <c r="N19" s="7"/>
      <c r="O19" s="7"/>
      <c r="P19" s="7"/>
      <c r="Q19" s="7"/>
      <c r="R19" s="7"/>
      <c r="S19" s="7"/>
      <c r="T19" s="7"/>
      <c r="U19" s="7"/>
      <c r="V19" s="7"/>
      <c r="W19" s="7"/>
      <c r="X19" s="7"/>
      <c r="Y19" s="7"/>
    </row>
    <row r="20" spans="1:25" ht="15.75" customHeight="1">
      <c r="A20" s="13"/>
      <c r="B20" s="7"/>
      <c r="C20" s="23"/>
      <c r="D20" s="7"/>
      <c r="E20" s="7"/>
      <c r="F20" s="7"/>
      <c r="G20" s="7"/>
      <c r="H20" s="7"/>
      <c r="I20" s="7"/>
      <c r="J20" s="7"/>
      <c r="K20" s="7"/>
      <c r="L20" s="7"/>
      <c r="M20" s="7"/>
      <c r="N20" s="7"/>
      <c r="O20" s="7"/>
      <c r="P20" s="7"/>
      <c r="Q20" s="7"/>
      <c r="R20" s="7"/>
      <c r="S20" s="7"/>
      <c r="T20" s="7"/>
      <c r="U20" s="7"/>
      <c r="V20" s="7"/>
      <c r="W20" s="7"/>
      <c r="X20" s="7"/>
      <c r="Y20" s="7"/>
    </row>
    <row r="21" spans="1:25" ht="15.75" customHeight="1">
      <c r="A21" s="13"/>
      <c r="B21" s="7"/>
      <c r="C21" s="23"/>
      <c r="D21" s="7"/>
      <c r="E21" s="7"/>
      <c r="F21" s="7"/>
      <c r="G21" s="7"/>
      <c r="H21" s="7"/>
      <c r="I21" s="7"/>
      <c r="J21" s="7"/>
      <c r="K21" s="7"/>
      <c r="L21" s="7"/>
      <c r="M21" s="7"/>
      <c r="N21" s="7"/>
      <c r="O21" s="7"/>
      <c r="P21" s="7"/>
      <c r="Q21" s="7"/>
      <c r="R21" s="7"/>
      <c r="S21" s="7"/>
      <c r="T21" s="7"/>
      <c r="U21" s="7"/>
      <c r="V21" s="7"/>
      <c r="W21" s="7"/>
      <c r="X21" s="7"/>
      <c r="Y21" s="7"/>
    </row>
    <row r="22" spans="1:25" ht="15.75" customHeight="1">
      <c r="A22" s="13"/>
      <c r="B22" s="7"/>
      <c r="C22" s="23"/>
      <c r="D22" s="7"/>
      <c r="E22" s="7"/>
      <c r="F22" s="7"/>
      <c r="G22" s="7"/>
      <c r="H22" s="7"/>
      <c r="I22" s="7"/>
      <c r="J22" s="7"/>
      <c r="K22" s="7"/>
      <c r="L22" s="7"/>
      <c r="M22" s="7"/>
      <c r="N22" s="7"/>
      <c r="O22" s="7"/>
      <c r="P22" s="7"/>
      <c r="Q22" s="7"/>
      <c r="R22" s="7"/>
      <c r="S22" s="7"/>
      <c r="T22" s="7"/>
      <c r="U22" s="7"/>
      <c r="V22" s="7"/>
      <c r="W22" s="7"/>
      <c r="X22" s="7"/>
      <c r="Y22" s="7"/>
    </row>
    <row r="23" spans="1:25" ht="15.75" customHeight="1">
      <c r="A23" s="13"/>
      <c r="B23" s="7"/>
      <c r="C23" s="23"/>
      <c r="D23" s="7"/>
      <c r="E23" s="7"/>
      <c r="F23" s="7"/>
      <c r="G23" s="7"/>
      <c r="H23" s="7"/>
      <c r="I23" s="7"/>
      <c r="J23" s="7"/>
      <c r="K23" s="7"/>
      <c r="L23" s="7"/>
      <c r="M23" s="7"/>
      <c r="N23" s="7"/>
      <c r="O23" s="7"/>
      <c r="P23" s="7"/>
      <c r="Q23" s="7"/>
      <c r="R23" s="7"/>
      <c r="S23" s="7"/>
      <c r="T23" s="7"/>
      <c r="U23" s="7"/>
      <c r="V23" s="7"/>
      <c r="W23" s="7"/>
      <c r="X23" s="7"/>
      <c r="Y23" s="7"/>
    </row>
    <row r="24" spans="1:25" ht="15.75" customHeight="1">
      <c r="A24" s="13"/>
      <c r="B24" s="7"/>
      <c r="C24" s="23"/>
      <c r="D24" s="7"/>
      <c r="E24" s="7"/>
      <c r="F24" s="7"/>
      <c r="G24" s="7"/>
      <c r="H24" s="7"/>
      <c r="I24" s="7"/>
      <c r="J24" s="7"/>
      <c r="K24" s="7"/>
      <c r="L24" s="7"/>
      <c r="M24" s="7"/>
      <c r="N24" s="7"/>
      <c r="O24" s="7"/>
      <c r="P24" s="7"/>
      <c r="Q24" s="7"/>
      <c r="R24" s="7"/>
      <c r="S24" s="7"/>
      <c r="T24" s="7"/>
      <c r="U24" s="7"/>
      <c r="V24" s="7"/>
      <c r="W24" s="7"/>
      <c r="X24" s="7"/>
      <c r="Y24" s="7"/>
    </row>
    <row r="25" spans="1:25" ht="15.75" customHeight="1">
      <c r="A25" s="13"/>
      <c r="B25" s="7"/>
      <c r="C25" s="23"/>
      <c r="D25" s="7"/>
      <c r="E25" s="7"/>
      <c r="F25" s="7"/>
      <c r="G25" s="7"/>
      <c r="H25" s="7"/>
      <c r="I25" s="7"/>
      <c r="J25" s="7"/>
      <c r="K25" s="7"/>
      <c r="L25" s="7"/>
      <c r="M25" s="7"/>
      <c r="N25" s="7"/>
      <c r="O25" s="7"/>
      <c r="P25" s="7"/>
      <c r="Q25" s="7"/>
      <c r="R25" s="7"/>
      <c r="S25" s="7"/>
      <c r="T25" s="7"/>
      <c r="U25" s="7"/>
      <c r="V25" s="7"/>
      <c r="W25" s="7"/>
      <c r="X25" s="7"/>
      <c r="Y25" s="7"/>
    </row>
    <row r="26" spans="1:25" ht="15.75" customHeight="1">
      <c r="A26" s="13"/>
      <c r="B26" s="7"/>
      <c r="C26" s="23"/>
      <c r="D26" s="7"/>
      <c r="E26" s="7"/>
      <c r="F26" s="7"/>
      <c r="G26" s="7"/>
      <c r="H26" s="7"/>
      <c r="I26" s="7"/>
      <c r="J26" s="7"/>
      <c r="K26" s="7"/>
      <c r="L26" s="7"/>
      <c r="M26" s="7"/>
      <c r="N26" s="7"/>
      <c r="O26" s="7"/>
      <c r="P26" s="7"/>
      <c r="Q26" s="7"/>
      <c r="R26" s="7"/>
      <c r="S26" s="7"/>
      <c r="T26" s="7"/>
      <c r="U26" s="7"/>
      <c r="V26" s="7"/>
      <c r="W26" s="7"/>
      <c r="X26" s="7"/>
      <c r="Y26" s="7"/>
    </row>
    <row r="27" spans="1:25" ht="15.75" customHeight="1">
      <c r="A27" s="13"/>
      <c r="B27" s="7"/>
      <c r="C27" s="23"/>
      <c r="D27" s="7"/>
      <c r="E27" s="7"/>
      <c r="F27" s="7"/>
      <c r="G27" s="7"/>
      <c r="H27" s="7"/>
      <c r="I27" s="7"/>
      <c r="J27" s="7"/>
      <c r="K27" s="7"/>
      <c r="L27" s="7"/>
      <c r="M27" s="7"/>
      <c r="N27" s="7"/>
      <c r="O27" s="7"/>
      <c r="P27" s="7"/>
      <c r="Q27" s="7"/>
      <c r="R27" s="7"/>
      <c r="S27" s="7"/>
      <c r="T27" s="7"/>
      <c r="U27" s="7"/>
      <c r="V27" s="7"/>
      <c r="W27" s="7"/>
      <c r="X27" s="7"/>
      <c r="Y27" s="7"/>
    </row>
    <row r="28" spans="1:25" ht="15.75" customHeight="1">
      <c r="A28" s="13"/>
      <c r="B28" s="7"/>
      <c r="C28" s="23"/>
      <c r="D28" s="7"/>
      <c r="E28" s="7"/>
      <c r="F28" s="7"/>
      <c r="G28" s="7"/>
      <c r="H28" s="7"/>
      <c r="I28" s="7"/>
      <c r="J28" s="7"/>
      <c r="K28" s="7"/>
      <c r="L28" s="7"/>
      <c r="M28" s="7"/>
      <c r="N28" s="7"/>
      <c r="O28" s="7"/>
      <c r="P28" s="7"/>
      <c r="Q28" s="7"/>
      <c r="R28" s="7"/>
      <c r="S28" s="7"/>
      <c r="T28" s="7"/>
      <c r="U28" s="7"/>
      <c r="V28" s="7"/>
      <c r="W28" s="7"/>
      <c r="X28" s="7"/>
      <c r="Y28" s="7"/>
    </row>
    <row r="29" spans="1:25" ht="15.75" customHeight="1">
      <c r="A29" s="13"/>
      <c r="B29" s="7"/>
      <c r="C29" s="23"/>
      <c r="D29" s="7"/>
      <c r="E29" s="7"/>
      <c r="F29" s="7"/>
      <c r="G29" s="7"/>
      <c r="H29" s="7"/>
      <c r="I29" s="7"/>
      <c r="J29" s="7"/>
      <c r="K29" s="7"/>
      <c r="L29" s="7"/>
      <c r="M29" s="7"/>
      <c r="N29" s="7"/>
      <c r="O29" s="7"/>
      <c r="P29" s="7"/>
      <c r="Q29" s="7"/>
      <c r="R29" s="7"/>
      <c r="S29" s="7"/>
      <c r="T29" s="7"/>
      <c r="U29" s="7"/>
      <c r="V29" s="7"/>
      <c r="W29" s="7"/>
      <c r="X29" s="7"/>
      <c r="Y29" s="7"/>
    </row>
    <row r="30" spans="1:25" ht="15.75" customHeight="1">
      <c r="A30" s="13"/>
      <c r="B30" s="7"/>
      <c r="C30" s="23"/>
      <c r="D30" s="7"/>
      <c r="E30" s="7"/>
      <c r="F30" s="7"/>
      <c r="G30" s="7"/>
      <c r="H30" s="7"/>
      <c r="I30" s="7"/>
      <c r="J30" s="7"/>
      <c r="K30" s="7"/>
      <c r="L30" s="7"/>
      <c r="M30" s="7"/>
      <c r="N30" s="7"/>
      <c r="O30" s="7"/>
      <c r="P30" s="7"/>
      <c r="Q30" s="7"/>
      <c r="R30" s="7"/>
      <c r="S30" s="7"/>
      <c r="T30" s="7"/>
      <c r="U30" s="7"/>
      <c r="V30" s="7"/>
      <c r="W30" s="7"/>
      <c r="X30" s="7"/>
      <c r="Y30" s="7"/>
    </row>
    <row r="31" spans="1:25" ht="15.75" customHeight="1">
      <c r="A31" s="13"/>
      <c r="B31" s="7"/>
      <c r="C31" s="23"/>
      <c r="D31" s="7"/>
      <c r="E31" s="7"/>
      <c r="F31" s="7"/>
      <c r="G31" s="7"/>
      <c r="H31" s="7"/>
      <c r="I31" s="7"/>
      <c r="J31" s="7"/>
      <c r="K31" s="7"/>
      <c r="L31" s="7"/>
      <c r="M31" s="7"/>
      <c r="N31" s="7"/>
      <c r="O31" s="7"/>
      <c r="P31" s="7"/>
      <c r="Q31" s="7"/>
      <c r="R31" s="7"/>
      <c r="S31" s="7"/>
      <c r="T31" s="7"/>
      <c r="U31" s="7"/>
      <c r="V31" s="7"/>
      <c r="W31" s="7"/>
      <c r="X31" s="7"/>
      <c r="Y31" s="7"/>
    </row>
    <row r="32" spans="1:25" ht="15.75" customHeight="1">
      <c r="A32" s="13"/>
      <c r="B32" s="7"/>
      <c r="C32" s="23"/>
      <c r="D32" s="7"/>
      <c r="E32" s="7"/>
      <c r="F32" s="7"/>
      <c r="G32" s="7"/>
      <c r="H32" s="7"/>
      <c r="I32" s="7"/>
      <c r="J32" s="7"/>
      <c r="K32" s="7"/>
      <c r="L32" s="7"/>
      <c r="M32" s="7"/>
      <c r="N32" s="7"/>
      <c r="O32" s="7"/>
      <c r="P32" s="7"/>
      <c r="Q32" s="7"/>
      <c r="R32" s="7"/>
      <c r="S32" s="7"/>
      <c r="T32" s="7"/>
      <c r="U32" s="7"/>
      <c r="V32" s="7"/>
      <c r="W32" s="7"/>
      <c r="X32" s="7"/>
      <c r="Y32" s="7"/>
    </row>
    <row r="33" spans="1:25" ht="15.75" customHeight="1">
      <c r="A33" s="13"/>
      <c r="B33" s="7"/>
      <c r="C33" s="23"/>
      <c r="D33" s="7"/>
      <c r="E33" s="7"/>
      <c r="F33" s="7"/>
      <c r="G33" s="7"/>
      <c r="H33" s="7"/>
      <c r="I33" s="7"/>
      <c r="J33" s="7"/>
      <c r="K33" s="7"/>
      <c r="L33" s="7"/>
      <c r="M33" s="7"/>
      <c r="N33" s="7"/>
      <c r="O33" s="7"/>
      <c r="P33" s="7"/>
      <c r="Q33" s="7"/>
      <c r="R33" s="7"/>
      <c r="S33" s="7"/>
      <c r="T33" s="7"/>
      <c r="U33" s="7"/>
      <c r="V33" s="7"/>
      <c r="W33" s="7"/>
      <c r="X33" s="7"/>
      <c r="Y33" s="7"/>
    </row>
    <row r="34" spans="1:25" ht="15.75" customHeight="1">
      <c r="A34" s="13"/>
      <c r="B34" s="7"/>
      <c r="C34" s="23"/>
      <c r="D34" s="7"/>
      <c r="E34" s="7"/>
      <c r="F34" s="7"/>
      <c r="G34" s="7"/>
      <c r="H34" s="7"/>
      <c r="I34" s="7"/>
      <c r="J34" s="7"/>
      <c r="K34" s="7"/>
      <c r="L34" s="7"/>
      <c r="M34" s="7"/>
      <c r="N34" s="7"/>
      <c r="O34" s="7"/>
      <c r="P34" s="7"/>
      <c r="Q34" s="7"/>
      <c r="R34" s="7"/>
      <c r="S34" s="7"/>
      <c r="T34" s="7"/>
      <c r="U34" s="7"/>
      <c r="V34" s="7"/>
      <c r="W34" s="7"/>
      <c r="X34" s="7"/>
      <c r="Y34" s="7"/>
    </row>
    <row r="35" spans="1:25" ht="15.75" customHeight="1">
      <c r="A35" s="13"/>
      <c r="B35" s="7"/>
      <c r="C35" s="23"/>
      <c r="D35" s="7"/>
      <c r="E35" s="7"/>
      <c r="F35" s="7"/>
      <c r="G35" s="7"/>
      <c r="H35" s="7"/>
      <c r="I35" s="7"/>
      <c r="J35" s="7"/>
      <c r="K35" s="7"/>
      <c r="L35" s="7"/>
      <c r="M35" s="7"/>
      <c r="N35" s="7"/>
      <c r="O35" s="7"/>
      <c r="P35" s="7"/>
      <c r="Q35" s="7"/>
      <c r="R35" s="7"/>
      <c r="S35" s="7"/>
      <c r="T35" s="7"/>
      <c r="U35" s="7"/>
      <c r="V35" s="7"/>
      <c r="W35" s="7"/>
      <c r="X35" s="7"/>
      <c r="Y35" s="7"/>
    </row>
    <row r="36" spans="1:25" ht="15.75" customHeight="1">
      <c r="A36" s="13"/>
      <c r="B36" s="7"/>
      <c r="C36" s="23"/>
      <c r="D36" s="7"/>
      <c r="E36" s="7"/>
      <c r="F36" s="7"/>
      <c r="G36" s="7"/>
      <c r="H36" s="7"/>
      <c r="I36" s="7"/>
      <c r="J36" s="7"/>
      <c r="K36" s="7"/>
      <c r="L36" s="7"/>
      <c r="M36" s="7"/>
      <c r="N36" s="7"/>
      <c r="O36" s="7"/>
      <c r="P36" s="7"/>
      <c r="Q36" s="7"/>
      <c r="R36" s="7"/>
      <c r="S36" s="7"/>
      <c r="T36" s="7"/>
      <c r="U36" s="7"/>
      <c r="V36" s="7"/>
      <c r="W36" s="7"/>
      <c r="X36" s="7"/>
      <c r="Y36" s="7"/>
    </row>
    <row r="37" spans="1:25" ht="15.75" customHeight="1">
      <c r="A37" s="13"/>
      <c r="B37" s="7"/>
      <c r="C37" s="23"/>
      <c r="D37" s="7"/>
      <c r="E37" s="7"/>
      <c r="F37" s="7"/>
      <c r="G37" s="7"/>
      <c r="H37" s="7"/>
      <c r="I37" s="7"/>
      <c r="J37" s="7"/>
      <c r="K37" s="7"/>
      <c r="L37" s="7"/>
      <c r="M37" s="7"/>
      <c r="N37" s="7"/>
      <c r="O37" s="7"/>
      <c r="P37" s="7"/>
      <c r="Q37" s="7"/>
      <c r="R37" s="7"/>
      <c r="S37" s="7"/>
      <c r="T37" s="7"/>
      <c r="U37" s="7"/>
      <c r="V37" s="7"/>
      <c r="W37" s="7"/>
      <c r="X37" s="7"/>
      <c r="Y37" s="7"/>
    </row>
    <row r="38" spans="1:25" ht="15.75" customHeight="1">
      <c r="A38" s="13"/>
      <c r="B38" s="7"/>
      <c r="C38" s="23"/>
      <c r="D38" s="7"/>
      <c r="E38" s="7"/>
      <c r="F38" s="7"/>
      <c r="G38" s="7"/>
      <c r="H38" s="7"/>
      <c r="I38" s="7"/>
      <c r="J38" s="7"/>
      <c r="K38" s="7"/>
      <c r="L38" s="7"/>
      <c r="M38" s="7"/>
      <c r="N38" s="7"/>
      <c r="O38" s="7"/>
      <c r="P38" s="7"/>
      <c r="Q38" s="7"/>
      <c r="R38" s="7"/>
      <c r="S38" s="7"/>
      <c r="T38" s="7"/>
      <c r="U38" s="7"/>
      <c r="V38" s="7"/>
      <c r="W38" s="7"/>
      <c r="X38" s="7"/>
      <c r="Y38" s="7"/>
    </row>
    <row r="39" spans="1:25" ht="15.75" customHeight="1">
      <c r="A39" s="13"/>
      <c r="B39" s="7"/>
      <c r="C39" s="23"/>
      <c r="D39" s="7"/>
      <c r="E39" s="7"/>
      <c r="F39" s="7"/>
      <c r="G39" s="7"/>
      <c r="H39" s="7"/>
      <c r="I39" s="7"/>
      <c r="J39" s="7"/>
      <c r="K39" s="7"/>
      <c r="L39" s="7"/>
      <c r="M39" s="7"/>
      <c r="N39" s="7"/>
      <c r="O39" s="7"/>
      <c r="P39" s="7"/>
      <c r="Q39" s="7"/>
      <c r="R39" s="7"/>
      <c r="S39" s="7"/>
      <c r="T39" s="7"/>
      <c r="U39" s="7"/>
      <c r="V39" s="7"/>
      <c r="W39" s="7"/>
      <c r="X39" s="7"/>
      <c r="Y39" s="7"/>
    </row>
    <row r="40" spans="1:25" ht="15.75" customHeight="1">
      <c r="A40" s="7"/>
      <c r="B40" s="7"/>
      <c r="C40" s="7"/>
      <c r="D40" s="7"/>
      <c r="E40" s="7"/>
      <c r="F40" s="7"/>
      <c r="G40" s="7"/>
      <c r="H40" s="7"/>
      <c r="I40" s="7"/>
      <c r="J40" s="7"/>
      <c r="K40" s="7"/>
      <c r="L40" s="7"/>
      <c r="M40" s="7"/>
      <c r="N40" s="7"/>
      <c r="O40" s="7"/>
      <c r="P40" s="7"/>
      <c r="Q40" s="7"/>
      <c r="R40" s="7"/>
      <c r="S40" s="7"/>
      <c r="T40" s="7"/>
      <c r="U40" s="7"/>
      <c r="V40" s="7"/>
      <c r="W40" s="7"/>
      <c r="X40" s="7"/>
      <c r="Y40" s="7"/>
    </row>
    <row r="41" spans="1:25" ht="15.75" customHeight="1">
      <c r="A41" s="13"/>
      <c r="B41" s="7"/>
      <c r="C41" s="11"/>
      <c r="D41" s="7"/>
      <c r="E41" s="11"/>
      <c r="F41" s="7"/>
      <c r="G41" s="7"/>
      <c r="H41" s="7"/>
      <c r="I41" s="7"/>
      <c r="J41" s="7"/>
      <c r="K41" s="7"/>
      <c r="L41" s="7"/>
      <c r="M41" s="7"/>
      <c r="N41" s="7"/>
      <c r="O41" s="7"/>
      <c r="P41" s="7"/>
      <c r="Q41" s="7"/>
      <c r="R41" s="7"/>
      <c r="S41" s="7"/>
      <c r="T41" s="7"/>
      <c r="U41" s="7"/>
      <c r="V41" s="7"/>
      <c r="W41" s="7"/>
      <c r="X41" s="7"/>
      <c r="Y41" s="7"/>
    </row>
    <row r="42" spans="1:25" ht="104.25" customHeight="1">
      <c r="A42" s="13"/>
      <c r="B42" s="13"/>
      <c r="C42" s="15"/>
      <c r="D42" s="7"/>
      <c r="E42" s="11"/>
      <c r="F42" s="7"/>
      <c r="G42" s="7"/>
      <c r="H42" s="7"/>
      <c r="I42" s="7"/>
      <c r="J42" s="7"/>
      <c r="K42" s="7"/>
      <c r="L42" s="7"/>
      <c r="M42" s="7"/>
      <c r="N42" s="7"/>
      <c r="O42" s="7"/>
      <c r="P42" s="7"/>
      <c r="Q42" s="7"/>
      <c r="R42" s="7"/>
      <c r="S42" s="7"/>
      <c r="T42" s="7"/>
      <c r="U42" s="7"/>
      <c r="V42" s="7"/>
      <c r="W42" s="7"/>
      <c r="X42" s="7"/>
      <c r="Y42" s="7"/>
    </row>
    <row r="43" spans="1:25" ht="15.75" customHeight="1">
      <c r="A43" s="13"/>
      <c r="B43" s="13"/>
      <c r="C43" s="15"/>
      <c r="D43" s="13"/>
      <c r="E43" s="11"/>
      <c r="F43" s="7"/>
      <c r="G43" s="7"/>
      <c r="H43" s="7"/>
      <c r="I43" s="7"/>
      <c r="J43" s="7"/>
      <c r="K43" s="7"/>
      <c r="L43" s="7"/>
      <c r="M43" s="7"/>
      <c r="N43" s="7"/>
      <c r="O43" s="7"/>
      <c r="P43" s="7"/>
      <c r="Q43" s="7"/>
      <c r="R43" s="7"/>
      <c r="S43" s="7"/>
      <c r="T43" s="7"/>
      <c r="U43" s="7"/>
      <c r="V43" s="7"/>
      <c r="W43" s="7"/>
      <c r="X43" s="7"/>
      <c r="Y43" s="7"/>
    </row>
    <row r="44" spans="1:25" ht="15.75" customHeight="1">
      <c r="A44" s="13"/>
      <c r="B44" s="4"/>
      <c r="C44" s="4"/>
      <c r="D44" s="11"/>
      <c r="E44" s="7"/>
      <c r="F44" s="11"/>
      <c r="G44" s="7"/>
      <c r="H44" s="7"/>
      <c r="I44" s="7"/>
      <c r="J44" s="7"/>
      <c r="K44" s="7"/>
      <c r="L44" s="7"/>
      <c r="M44" s="7"/>
      <c r="N44" s="7"/>
      <c r="O44" s="7"/>
      <c r="P44" s="7"/>
      <c r="Q44" s="7"/>
      <c r="R44" s="7"/>
      <c r="S44" s="7"/>
      <c r="T44" s="7"/>
      <c r="U44" s="7"/>
      <c r="V44" s="7"/>
      <c r="W44" s="7"/>
      <c r="X44" s="7"/>
      <c r="Y44" s="7"/>
    </row>
    <row r="45" spans="1:25" ht="105" customHeight="1">
      <c r="A45" s="13"/>
      <c r="B45" s="13"/>
      <c r="C45" s="13"/>
      <c r="D45" s="13"/>
      <c r="E45" s="15"/>
      <c r="F45" s="7"/>
      <c r="G45" s="7"/>
      <c r="H45" s="7"/>
      <c r="I45" s="7"/>
      <c r="J45" s="7"/>
      <c r="K45" s="7"/>
      <c r="L45" s="7"/>
      <c r="M45" s="7"/>
      <c r="N45" s="7"/>
      <c r="O45" s="7"/>
      <c r="P45" s="7"/>
      <c r="Q45" s="7"/>
      <c r="R45" s="7"/>
      <c r="S45" s="7"/>
      <c r="T45" s="7"/>
      <c r="U45" s="7"/>
      <c r="V45" s="7"/>
      <c r="W45" s="7"/>
      <c r="X45" s="7"/>
      <c r="Y45" s="7"/>
    </row>
    <row r="46" spans="1:25" ht="81" customHeight="1">
      <c r="A46" s="13"/>
      <c r="B46" s="16"/>
      <c r="C46" s="16"/>
      <c r="D46" s="16"/>
      <c r="E46" s="16"/>
      <c r="F46" s="7"/>
      <c r="G46" s="7"/>
      <c r="H46" s="7"/>
      <c r="I46" s="7"/>
      <c r="J46" s="7"/>
      <c r="K46" s="7"/>
      <c r="L46" s="7"/>
      <c r="M46" s="7"/>
      <c r="N46" s="7"/>
      <c r="O46" s="7"/>
      <c r="P46" s="7"/>
      <c r="Q46" s="7"/>
      <c r="R46" s="7"/>
      <c r="S46" s="7"/>
      <c r="T46" s="7"/>
      <c r="U46" s="7"/>
      <c r="V46" s="7"/>
      <c r="W46" s="7"/>
      <c r="X46" s="7"/>
      <c r="Y46" s="7"/>
    </row>
    <row r="47" spans="1:25" ht="15.75" customHeight="1">
      <c r="A47" s="13"/>
      <c r="B47" s="13"/>
      <c r="C47" s="13"/>
      <c r="D47" s="7"/>
      <c r="E47" s="11"/>
      <c r="F47" s="7"/>
      <c r="G47" s="7"/>
      <c r="H47" s="7"/>
      <c r="I47" s="7"/>
      <c r="J47" s="7"/>
      <c r="K47" s="7"/>
      <c r="L47" s="7"/>
      <c r="M47" s="7"/>
      <c r="N47" s="7"/>
      <c r="O47" s="7"/>
      <c r="P47" s="7"/>
      <c r="Q47" s="7"/>
      <c r="R47" s="7"/>
      <c r="S47" s="7"/>
      <c r="T47" s="7"/>
      <c r="U47" s="7"/>
      <c r="V47" s="7"/>
      <c r="W47" s="7"/>
      <c r="X47" s="7"/>
      <c r="Y47" s="7"/>
    </row>
    <row r="48" spans="1:25" ht="15.75" customHeight="1">
      <c r="A48" s="13"/>
      <c r="B48" s="13"/>
      <c r="C48" s="11"/>
      <c r="D48" s="13"/>
      <c r="E48" s="11"/>
      <c r="F48" s="7"/>
      <c r="G48" s="7"/>
      <c r="H48" s="7"/>
      <c r="I48" s="7"/>
      <c r="J48" s="7"/>
      <c r="K48" s="7"/>
      <c r="L48" s="7"/>
      <c r="M48" s="7"/>
      <c r="N48" s="7"/>
      <c r="O48" s="7"/>
      <c r="P48" s="7"/>
      <c r="Q48" s="7"/>
      <c r="R48" s="7"/>
      <c r="S48" s="7"/>
      <c r="T48" s="7"/>
      <c r="U48" s="7"/>
      <c r="V48" s="7"/>
      <c r="W48" s="7"/>
      <c r="X48" s="7"/>
      <c r="Y48" s="7"/>
    </row>
    <row r="49" spans="1:25" ht="45.75" customHeight="1">
      <c r="A49" s="13"/>
      <c r="B49" s="7"/>
      <c r="C49" s="23"/>
      <c r="D49" s="7"/>
      <c r="E49" s="7"/>
      <c r="F49" s="7"/>
      <c r="G49" s="7"/>
      <c r="H49" s="7"/>
      <c r="I49" s="7"/>
      <c r="J49" s="7"/>
      <c r="K49" s="7"/>
      <c r="L49" s="7"/>
      <c r="M49" s="7"/>
      <c r="N49" s="7"/>
      <c r="O49" s="7"/>
      <c r="P49" s="7"/>
      <c r="Q49" s="7"/>
      <c r="R49" s="7"/>
      <c r="S49" s="7"/>
      <c r="T49" s="7"/>
      <c r="U49" s="7"/>
      <c r="V49" s="7"/>
      <c r="W49" s="7"/>
      <c r="X49" s="7"/>
      <c r="Y49" s="7"/>
    </row>
    <row r="50" spans="1:25" ht="15.75" customHeight="1">
      <c r="A50" s="17"/>
      <c r="B50" s="18"/>
      <c r="C50" s="17"/>
      <c r="D50" s="17"/>
      <c r="E50" s="17"/>
      <c r="F50" s="17"/>
      <c r="G50" s="17"/>
      <c r="H50" s="17"/>
      <c r="I50" s="17"/>
      <c r="J50" s="17"/>
      <c r="K50" s="17"/>
      <c r="L50" s="17"/>
      <c r="M50" s="17"/>
      <c r="N50" s="17"/>
      <c r="O50" s="17"/>
      <c r="P50" s="17"/>
      <c r="Q50" s="17"/>
      <c r="R50" s="17"/>
      <c r="S50" s="17"/>
      <c r="T50" s="17"/>
      <c r="U50" s="17"/>
      <c r="V50" s="17"/>
      <c r="W50" s="17"/>
      <c r="X50" s="17"/>
      <c r="Y50" s="17"/>
    </row>
    <row r="51" spans="1:25" ht="15.75" customHeight="1">
      <c r="A51" s="17"/>
      <c r="B51" s="12"/>
      <c r="C51" s="19"/>
      <c r="D51" s="17"/>
      <c r="E51" s="17"/>
      <c r="F51" s="17"/>
      <c r="G51" s="17"/>
      <c r="H51" s="17"/>
      <c r="I51" s="17"/>
      <c r="J51" s="17"/>
      <c r="K51" s="17"/>
      <c r="L51" s="17"/>
      <c r="M51" s="17"/>
      <c r="N51" s="17"/>
      <c r="O51" s="17"/>
      <c r="P51" s="17"/>
      <c r="Q51" s="17"/>
      <c r="R51" s="17"/>
      <c r="S51" s="17"/>
      <c r="T51" s="17"/>
      <c r="U51" s="17"/>
      <c r="V51" s="17"/>
      <c r="W51" s="17"/>
      <c r="X51" s="17"/>
      <c r="Y51" s="17"/>
    </row>
    <row r="52" spans="1:25" ht="15.75" customHeight="1">
      <c r="A52" s="12"/>
      <c r="B52" s="12"/>
      <c r="C52" s="19"/>
      <c r="D52" s="17"/>
      <c r="E52" s="17"/>
      <c r="F52" s="17"/>
      <c r="G52" s="17"/>
      <c r="H52" s="17"/>
      <c r="I52" s="17"/>
      <c r="J52" s="17"/>
      <c r="K52" s="17"/>
      <c r="L52" s="17"/>
      <c r="M52" s="17"/>
      <c r="N52" s="17"/>
      <c r="O52" s="17"/>
      <c r="P52" s="17"/>
      <c r="Q52" s="17"/>
      <c r="R52" s="17"/>
      <c r="S52" s="17"/>
      <c r="T52" s="17"/>
      <c r="U52" s="17"/>
      <c r="V52" s="17"/>
      <c r="W52" s="17"/>
      <c r="X52" s="17"/>
      <c r="Y52" s="17"/>
    </row>
    <row r="53" spans="1:25" ht="15.75" customHeight="1">
      <c r="A53" s="12"/>
      <c r="B53" s="18"/>
      <c r="C53" s="17"/>
      <c r="D53" s="17"/>
      <c r="E53" s="17"/>
      <c r="F53" s="17"/>
      <c r="G53" s="17"/>
      <c r="H53" s="17"/>
      <c r="I53" s="17"/>
      <c r="J53" s="17"/>
      <c r="K53" s="17"/>
      <c r="L53" s="17"/>
      <c r="M53" s="17"/>
      <c r="N53" s="17"/>
      <c r="O53" s="17"/>
      <c r="P53" s="17"/>
      <c r="Q53" s="17"/>
      <c r="R53" s="17"/>
      <c r="S53" s="17"/>
      <c r="T53" s="17"/>
      <c r="U53" s="17"/>
      <c r="V53" s="17"/>
      <c r="W53" s="17"/>
      <c r="X53" s="17"/>
      <c r="Y53" s="17"/>
    </row>
    <row r="54" spans="1:25" ht="15.75" customHeight="1">
      <c r="A54" s="17"/>
      <c r="B54" s="18"/>
      <c r="C54" s="17"/>
      <c r="D54" s="17"/>
      <c r="E54" s="17"/>
      <c r="F54" s="17"/>
      <c r="G54" s="17"/>
      <c r="H54" s="17"/>
      <c r="I54" s="17"/>
      <c r="J54" s="17"/>
      <c r="K54" s="17"/>
      <c r="L54" s="17"/>
      <c r="M54" s="17"/>
      <c r="N54" s="17"/>
      <c r="O54" s="17"/>
      <c r="P54" s="17"/>
      <c r="Q54" s="17"/>
      <c r="R54" s="17"/>
      <c r="S54" s="17"/>
      <c r="T54" s="17"/>
      <c r="U54" s="17"/>
      <c r="V54" s="17"/>
      <c r="W54" s="17"/>
      <c r="X54" s="17"/>
      <c r="Y54" s="17"/>
    </row>
    <row r="55" spans="1:25" ht="15.75" customHeight="1">
      <c r="A55" s="17"/>
      <c r="B55" s="18"/>
      <c r="C55" s="17"/>
      <c r="D55" s="17"/>
      <c r="E55" s="17"/>
      <c r="F55" s="17"/>
      <c r="G55" s="17"/>
      <c r="H55" s="17"/>
      <c r="I55" s="17"/>
      <c r="J55" s="17"/>
      <c r="K55" s="17"/>
      <c r="L55" s="17"/>
      <c r="M55" s="17"/>
      <c r="N55" s="17"/>
      <c r="O55" s="17"/>
      <c r="P55" s="17"/>
      <c r="Q55" s="17"/>
      <c r="R55" s="17"/>
      <c r="S55" s="17"/>
      <c r="T55" s="17"/>
      <c r="U55" s="17"/>
      <c r="V55" s="17"/>
      <c r="W55" s="17"/>
      <c r="X55" s="17"/>
      <c r="Y55" s="17"/>
    </row>
    <row r="56" spans="1:25" ht="15.75" customHeight="1">
      <c r="A56" s="17"/>
      <c r="B56" s="12"/>
      <c r="C56" s="19"/>
      <c r="D56" s="17"/>
      <c r="E56" s="17"/>
      <c r="F56" s="17"/>
      <c r="G56" s="17"/>
      <c r="H56" s="17"/>
      <c r="I56" s="17"/>
      <c r="J56" s="17"/>
      <c r="K56" s="17"/>
      <c r="L56" s="17"/>
      <c r="M56" s="17"/>
      <c r="N56" s="17"/>
      <c r="O56" s="17"/>
      <c r="P56" s="17"/>
      <c r="Q56" s="17"/>
      <c r="R56" s="17"/>
      <c r="S56" s="17"/>
      <c r="T56" s="17"/>
      <c r="U56" s="17"/>
      <c r="V56" s="17"/>
      <c r="W56" s="17"/>
      <c r="X56" s="17"/>
      <c r="Y56" s="17"/>
    </row>
    <row r="57" spans="1:25" ht="15.75" customHeight="1">
      <c r="A57" s="17"/>
      <c r="B57" s="18"/>
      <c r="C57" s="17"/>
      <c r="D57" s="17"/>
      <c r="E57" s="17"/>
      <c r="F57" s="17"/>
      <c r="G57" s="17"/>
      <c r="H57" s="17"/>
      <c r="I57" s="17"/>
      <c r="J57" s="17"/>
      <c r="K57" s="17"/>
      <c r="L57" s="17"/>
      <c r="M57" s="17"/>
      <c r="N57" s="17"/>
      <c r="O57" s="17"/>
      <c r="P57" s="17"/>
      <c r="Q57" s="17"/>
      <c r="R57" s="17"/>
      <c r="S57" s="17"/>
      <c r="T57" s="17"/>
      <c r="U57" s="17"/>
      <c r="V57" s="17"/>
      <c r="W57" s="17"/>
      <c r="X57" s="17"/>
      <c r="Y57" s="17"/>
    </row>
    <row r="58" spans="1:25" ht="15.75" customHeight="1">
      <c r="A58" s="17"/>
      <c r="B58" s="18"/>
      <c r="C58" s="17"/>
      <c r="D58" s="17"/>
      <c r="E58" s="17"/>
      <c r="F58" s="17"/>
      <c r="G58" s="17"/>
      <c r="H58" s="17"/>
      <c r="I58" s="17"/>
      <c r="J58" s="17"/>
      <c r="K58" s="17"/>
      <c r="L58" s="17"/>
      <c r="M58" s="17"/>
      <c r="N58" s="17"/>
      <c r="O58" s="17"/>
      <c r="P58" s="17"/>
      <c r="Q58" s="17"/>
      <c r="R58" s="17"/>
      <c r="S58" s="17"/>
      <c r="T58" s="17"/>
      <c r="U58" s="17"/>
      <c r="V58" s="17"/>
      <c r="W58" s="17"/>
      <c r="X58" s="17"/>
      <c r="Y58" s="17"/>
    </row>
    <row r="59" spans="1:25" ht="15.75" customHeight="1">
      <c r="A59" s="17"/>
      <c r="B59" s="18"/>
      <c r="C59" s="17"/>
      <c r="D59" s="17"/>
      <c r="E59" s="17"/>
      <c r="F59" s="17"/>
      <c r="G59" s="17"/>
      <c r="H59" s="17"/>
      <c r="I59" s="17"/>
      <c r="J59" s="17"/>
      <c r="K59" s="17"/>
      <c r="L59" s="17"/>
      <c r="M59" s="17"/>
      <c r="N59" s="17"/>
      <c r="O59" s="17"/>
      <c r="P59" s="17"/>
      <c r="Q59" s="17"/>
      <c r="R59" s="17"/>
      <c r="S59" s="17"/>
      <c r="T59" s="17"/>
      <c r="U59" s="17"/>
      <c r="V59" s="17"/>
      <c r="W59" s="17"/>
      <c r="X59" s="17"/>
      <c r="Y59" s="17"/>
    </row>
    <row r="60" spans="1:25" ht="15.75" customHeight="1">
      <c r="A60" s="17"/>
      <c r="B60" s="18"/>
      <c r="C60" s="17"/>
      <c r="D60" s="17"/>
      <c r="E60" s="17"/>
      <c r="F60" s="17"/>
      <c r="G60" s="17"/>
      <c r="H60" s="17"/>
      <c r="I60" s="17"/>
      <c r="J60" s="17"/>
      <c r="K60" s="17"/>
      <c r="L60" s="17"/>
      <c r="M60" s="17"/>
      <c r="N60" s="17"/>
      <c r="O60" s="17"/>
      <c r="P60" s="17"/>
      <c r="Q60" s="17"/>
      <c r="R60" s="17"/>
      <c r="S60" s="17"/>
      <c r="T60" s="17"/>
      <c r="U60" s="17"/>
      <c r="V60" s="17"/>
      <c r="W60" s="17"/>
      <c r="X60" s="17"/>
      <c r="Y60" s="17"/>
    </row>
    <row r="61" spans="1:25" ht="15.75" customHeight="1">
      <c r="A61" s="13"/>
      <c r="B61" s="4"/>
      <c r="C61" s="4"/>
      <c r="D61" s="4"/>
      <c r="E61" s="4"/>
      <c r="F61" s="7"/>
      <c r="G61" s="7"/>
      <c r="H61" s="7"/>
      <c r="I61" s="7"/>
      <c r="J61" s="7"/>
      <c r="K61" s="7"/>
      <c r="L61" s="7"/>
      <c r="M61" s="7"/>
      <c r="N61" s="7"/>
      <c r="O61" s="7"/>
      <c r="P61" s="7"/>
      <c r="Q61" s="7"/>
      <c r="R61" s="7"/>
      <c r="S61" s="7"/>
      <c r="T61" s="7"/>
      <c r="U61" s="7"/>
      <c r="V61" s="7"/>
      <c r="W61" s="7"/>
      <c r="X61" s="7"/>
      <c r="Y61" s="7"/>
    </row>
    <row r="62" spans="1:25" ht="15.75" customHeight="1">
      <c r="A62" s="7"/>
      <c r="B62" s="7"/>
      <c r="C62" s="7"/>
      <c r="D62" s="7"/>
      <c r="E62" s="7"/>
      <c r="F62" s="7"/>
      <c r="G62" s="7"/>
      <c r="H62" s="7"/>
      <c r="I62" s="7"/>
      <c r="J62" s="7"/>
      <c r="K62" s="7"/>
      <c r="L62" s="7"/>
      <c r="M62" s="7"/>
      <c r="N62" s="7"/>
      <c r="O62" s="7"/>
      <c r="P62" s="7"/>
      <c r="Q62" s="7"/>
      <c r="R62" s="7"/>
      <c r="S62" s="7"/>
      <c r="T62" s="7"/>
      <c r="U62" s="7"/>
      <c r="V62" s="7"/>
      <c r="W62" s="7"/>
      <c r="X62" s="7"/>
      <c r="Y62" s="7"/>
    </row>
    <row r="63" spans="1:25" ht="61.5" customHeight="1">
      <c r="A63" s="7"/>
      <c r="B63" s="7"/>
      <c r="C63" s="7"/>
      <c r="D63" s="7"/>
      <c r="E63" s="11"/>
      <c r="F63" s="7"/>
      <c r="G63" s="7"/>
      <c r="H63" s="7"/>
      <c r="I63" s="7"/>
      <c r="J63" s="7"/>
      <c r="K63" s="7"/>
      <c r="L63" s="7"/>
      <c r="M63" s="7"/>
      <c r="N63" s="7"/>
      <c r="O63" s="7"/>
      <c r="P63" s="7"/>
      <c r="Q63" s="7"/>
      <c r="R63" s="7"/>
      <c r="S63" s="7"/>
      <c r="T63" s="7"/>
      <c r="U63" s="7"/>
      <c r="V63" s="7"/>
      <c r="W63" s="7"/>
      <c r="X63" s="7"/>
      <c r="Y63" s="7"/>
    </row>
    <row r="64" spans="1:25" ht="15.75" customHeight="1">
      <c r="A64" s="13"/>
      <c r="B64" s="13"/>
      <c r="C64" s="13"/>
      <c r="D64" s="7"/>
      <c r="E64" s="7"/>
      <c r="F64" s="7"/>
      <c r="G64" s="7"/>
      <c r="H64" s="7"/>
      <c r="I64" s="7"/>
      <c r="J64" s="7"/>
      <c r="K64" s="7"/>
      <c r="L64" s="7"/>
      <c r="M64" s="7"/>
      <c r="N64" s="7"/>
      <c r="O64" s="7"/>
      <c r="P64" s="7"/>
      <c r="Q64" s="7"/>
      <c r="R64" s="7"/>
      <c r="S64" s="7"/>
      <c r="T64" s="7"/>
      <c r="U64" s="7"/>
      <c r="V64" s="7"/>
      <c r="W64" s="7"/>
      <c r="X64" s="7"/>
      <c r="Y64" s="7"/>
    </row>
    <row r="65" spans="1:25" ht="15.75" customHeight="1">
      <c r="A65" s="12"/>
      <c r="B65" s="7"/>
      <c r="C65" s="7"/>
      <c r="D65" s="7"/>
      <c r="E65" s="7"/>
      <c r="F65" s="7"/>
      <c r="G65" s="7"/>
      <c r="H65" s="7"/>
      <c r="I65" s="7"/>
      <c r="J65" s="7"/>
      <c r="K65" s="7"/>
      <c r="L65" s="7"/>
      <c r="M65" s="7"/>
      <c r="N65" s="7"/>
      <c r="O65" s="7"/>
      <c r="P65" s="7"/>
      <c r="Q65" s="7"/>
      <c r="R65" s="7"/>
      <c r="S65" s="7"/>
      <c r="T65" s="7"/>
      <c r="U65" s="7"/>
      <c r="V65" s="7"/>
      <c r="W65" s="7"/>
      <c r="X65" s="7"/>
      <c r="Y65" s="7"/>
    </row>
    <row r="66" spans="1:25" ht="15.75" customHeight="1">
      <c r="A66" s="12"/>
      <c r="B66" s="13"/>
      <c r="C66" s="13"/>
      <c r="D66" s="7"/>
      <c r="E66" s="7"/>
      <c r="F66" s="7"/>
      <c r="G66" s="7"/>
      <c r="H66" s="7"/>
      <c r="I66" s="7"/>
      <c r="J66" s="7"/>
      <c r="K66" s="7"/>
      <c r="L66" s="7"/>
      <c r="M66" s="7"/>
      <c r="N66" s="7"/>
      <c r="O66" s="7"/>
      <c r="P66" s="7"/>
      <c r="Q66" s="7"/>
      <c r="R66" s="7"/>
      <c r="S66" s="7"/>
      <c r="T66" s="7"/>
      <c r="U66" s="7"/>
      <c r="V66" s="7"/>
      <c r="W66" s="7"/>
      <c r="X66" s="7"/>
      <c r="Y66" s="7"/>
    </row>
    <row r="67" spans="1:25" ht="15.75" customHeight="1">
      <c r="A67" s="12"/>
      <c r="B67" s="7"/>
      <c r="C67" s="7"/>
      <c r="D67" s="7"/>
      <c r="E67" s="7"/>
      <c r="F67" s="7"/>
      <c r="G67" s="7"/>
      <c r="H67" s="7"/>
      <c r="I67" s="7"/>
      <c r="J67" s="7"/>
      <c r="K67" s="7"/>
      <c r="L67" s="7"/>
      <c r="M67" s="7"/>
      <c r="N67" s="7"/>
      <c r="O67" s="7"/>
      <c r="P67" s="7"/>
      <c r="Q67" s="7"/>
      <c r="R67" s="7"/>
      <c r="S67" s="7"/>
      <c r="T67" s="7"/>
      <c r="U67" s="7"/>
      <c r="V67" s="7"/>
      <c r="W67" s="7"/>
      <c r="X67" s="7"/>
      <c r="Y67" s="7"/>
    </row>
    <row r="68" spans="1:25" ht="15.75" customHeight="1">
      <c r="A68" s="12"/>
      <c r="B68" s="13"/>
      <c r="C68" s="13"/>
      <c r="D68" s="13"/>
      <c r="E68" s="7"/>
      <c r="F68" s="7"/>
      <c r="G68" s="7"/>
      <c r="H68" s="7"/>
      <c r="I68" s="7"/>
      <c r="J68" s="7"/>
      <c r="K68" s="7"/>
      <c r="L68" s="7"/>
      <c r="M68" s="7"/>
      <c r="N68" s="7"/>
      <c r="O68" s="7"/>
      <c r="P68" s="7"/>
      <c r="Q68" s="7"/>
      <c r="R68" s="7"/>
      <c r="S68" s="7"/>
      <c r="T68" s="7"/>
      <c r="U68" s="7"/>
      <c r="V68" s="7"/>
      <c r="W68" s="7"/>
      <c r="X68" s="7"/>
      <c r="Y68" s="7"/>
    </row>
    <row r="69" spans="1:25" ht="15.75" customHeight="1">
      <c r="A69" s="12"/>
      <c r="B69" s="7"/>
      <c r="D69" s="7"/>
      <c r="E69" s="7"/>
      <c r="F69" s="7"/>
      <c r="G69" s="7"/>
      <c r="H69" s="7"/>
      <c r="I69" s="7"/>
      <c r="J69" s="7"/>
      <c r="K69" s="7"/>
      <c r="L69" s="7"/>
      <c r="M69" s="7"/>
      <c r="N69" s="7"/>
      <c r="O69" s="7"/>
      <c r="P69" s="7"/>
      <c r="Q69" s="7"/>
      <c r="R69" s="7"/>
      <c r="S69" s="7"/>
      <c r="T69" s="7"/>
      <c r="U69" s="7"/>
      <c r="V69" s="7"/>
      <c r="W69" s="7"/>
      <c r="X69" s="7"/>
      <c r="Y69" s="7"/>
    </row>
    <row r="70" spans="1:25" ht="15.7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row>
    <row r="71" spans="1:25" ht="15.75" customHeight="1">
      <c r="B71" s="13"/>
      <c r="C71" s="13"/>
      <c r="D71" s="7"/>
      <c r="E71" s="7"/>
      <c r="F71" s="7"/>
      <c r="G71" s="7"/>
      <c r="H71" s="7"/>
      <c r="I71" s="7"/>
      <c r="J71" s="7"/>
      <c r="K71" s="7"/>
      <c r="L71" s="7"/>
      <c r="M71" s="7"/>
      <c r="N71" s="7"/>
      <c r="O71" s="7"/>
      <c r="P71" s="7"/>
      <c r="Q71" s="7"/>
      <c r="R71" s="7"/>
      <c r="S71" s="7"/>
      <c r="T71" s="7"/>
      <c r="U71" s="7"/>
      <c r="V71" s="7"/>
      <c r="W71" s="7"/>
      <c r="X71" s="7"/>
      <c r="Y71" s="7"/>
    </row>
    <row r="72" spans="1:25" ht="15.75" customHeight="1">
      <c r="A72" s="13"/>
      <c r="B72" s="4"/>
      <c r="C72" s="4"/>
      <c r="D72" s="7"/>
      <c r="E72" s="7"/>
      <c r="F72" s="7"/>
      <c r="G72" s="7"/>
      <c r="H72" s="7"/>
      <c r="I72" s="7"/>
      <c r="J72" s="7"/>
      <c r="K72" s="7"/>
      <c r="L72" s="7"/>
      <c r="M72" s="7"/>
      <c r="N72" s="7"/>
      <c r="O72" s="7"/>
      <c r="P72" s="7"/>
      <c r="Q72" s="7"/>
      <c r="R72" s="7"/>
      <c r="S72" s="7"/>
      <c r="T72" s="7"/>
      <c r="U72" s="7"/>
      <c r="V72" s="7"/>
      <c r="W72" s="7"/>
      <c r="X72" s="7"/>
      <c r="Y72" s="7"/>
    </row>
    <row r="73" spans="1:25" ht="15.75" customHeight="1">
      <c r="A73" s="7"/>
      <c r="B73" s="7"/>
      <c r="C73" s="7"/>
      <c r="D73" s="7"/>
      <c r="E73" s="7"/>
      <c r="F73" s="7"/>
      <c r="G73" s="7"/>
      <c r="H73" s="7"/>
      <c r="I73" s="7"/>
      <c r="J73" s="7"/>
      <c r="K73" s="7"/>
      <c r="L73" s="7"/>
      <c r="M73" s="7"/>
      <c r="N73" s="7"/>
      <c r="O73" s="7"/>
      <c r="P73" s="7"/>
      <c r="Q73" s="7"/>
      <c r="R73" s="7"/>
      <c r="S73" s="7"/>
      <c r="T73" s="7"/>
      <c r="U73" s="7"/>
      <c r="V73" s="7"/>
      <c r="W73" s="7"/>
      <c r="X73" s="7"/>
      <c r="Y73" s="7"/>
    </row>
    <row r="74" spans="1:25" ht="15.75" customHeight="1">
      <c r="A74" s="7"/>
      <c r="B74" s="7"/>
      <c r="C74" s="7"/>
      <c r="D74" s="7"/>
      <c r="E74" s="7"/>
      <c r="F74" s="7"/>
      <c r="G74" s="7"/>
      <c r="H74" s="7"/>
      <c r="I74" s="7"/>
      <c r="J74" s="7"/>
      <c r="K74" s="7"/>
      <c r="L74" s="7"/>
      <c r="M74" s="7"/>
      <c r="N74" s="7"/>
      <c r="O74" s="7"/>
      <c r="P74" s="7"/>
      <c r="Q74" s="7"/>
      <c r="R74" s="7"/>
      <c r="S74" s="7"/>
      <c r="T74" s="7"/>
      <c r="U74" s="7"/>
      <c r="V74" s="7"/>
      <c r="W74" s="7"/>
      <c r="X74" s="7"/>
      <c r="Y74" s="7"/>
    </row>
    <row r="75" spans="1:25" ht="15.75" customHeight="1">
      <c r="A75" s="7"/>
      <c r="B75" s="13"/>
      <c r="C75" s="21"/>
      <c r="D75" s="2"/>
      <c r="E75" s="2"/>
      <c r="F75" s="7"/>
      <c r="G75" s="7"/>
      <c r="H75" s="7"/>
      <c r="I75" s="7"/>
      <c r="J75" s="7"/>
      <c r="K75" s="7"/>
      <c r="L75" s="7"/>
      <c r="M75" s="7"/>
      <c r="N75" s="7"/>
      <c r="O75" s="7"/>
      <c r="P75" s="7"/>
      <c r="Q75" s="7"/>
      <c r="R75" s="7"/>
      <c r="S75" s="7"/>
      <c r="T75" s="7"/>
      <c r="U75" s="7"/>
      <c r="V75" s="7"/>
      <c r="W75" s="7"/>
      <c r="X75" s="7"/>
      <c r="Y75" s="7"/>
    </row>
    <row r="76" spans="1:25" ht="15.75" customHeight="1">
      <c r="A76" s="7"/>
      <c r="B76" s="7"/>
      <c r="C76" s="7"/>
      <c r="D76" s="7"/>
      <c r="E76" s="7"/>
      <c r="F76" s="7"/>
      <c r="G76" s="7"/>
      <c r="H76" s="7"/>
      <c r="I76" s="7"/>
      <c r="J76" s="7"/>
      <c r="K76" s="7"/>
      <c r="L76" s="7"/>
      <c r="M76" s="7"/>
      <c r="N76" s="7"/>
      <c r="O76" s="7"/>
      <c r="P76" s="7"/>
      <c r="Q76" s="7"/>
      <c r="R76" s="7"/>
      <c r="S76" s="7"/>
      <c r="T76" s="7"/>
      <c r="U76" s="7"/>
      <c r="V76" s="7"/>
      <c r="W76" s="7"/>
      <c r="X76" s="7"/>
      <c r="Y76" s="7"/>
    </row>
    <row r="77" spans="1:25" ht="15.75" customHeight="1">
      <c r="A77" s="7"/>
      <c r="B77" s="7"/>
      <c r="C77" s="7"/>
      <c r="D77" s="7"/>
      <c r="E77" s="7"/>
      <c r="F77" s="7"/>
      <c r="G77" s="7"/>
      <c r="H77" s="7"/>
      <c r="I77" s="7"/>
      <c r="J77" s="7"/>
      <c r="K77" s="7"/>
      <c r="L77" s="7"/>
      <c r="M77" s="7"/>
      <c r="N77" s="7"/>
      <c r="O77" s="7"/>
      <c r="P77" s="7"/>
      <c r="Q77" s="7"/>
      <c r="R77" s="7"/>
      <c r="S77" s="7"/>
      <c r="T77" s="7"/>
      <c r="U77" s="7"/>
      <c r="V77" s="7"/>
      <c r="W77" s="7"/>
      <c r="X77" s="7"/>
      <c r="Y77" s="7"/>
    </row>
    <row r="78" spans="1:25" ht="15.75" customHeight="1">
      <c r="A78" s="7"/>
      <c r="B78" s="7"/>
      <c r="C78" s="7"/>
      <c r="D78" s="7"/>
      <c r="E78" s="7"/>
      <c r="F78" s="7"/>
      <c r="G78" s="7"/>
      <c r="H78" s="7"/>
      <c r="I78" s="7"/>
      <c r="J78" s="7"/>
      <c r="K78" s="7"/>
      <c r="L78" s="7"/>
      <c r="M78" s="7"/>
      <c r="N78" s="7"/>
      <c r="O78" s="7"/>
      <c r="P78" s="7"/>
      <c r="Q78" s="7"/>
      <c r="R78" s="7"/>
      <c r="S78" s="7"/>
      <c r="T78" s="7"/>
      <c r="U78" s="7"/>
      <c r="V78" s="7"/>
      <c r="W78" s="7"/>
      <c r="X78" s="7"/>
      <c r="Y78" s="7"/>
    </row>
    <row r="79" spans="1:25" ht="15.75" customHeight="1">
      <c r="A79" s="7"/>
      <c r="B79" s="7"/>
      <c r="C79" s="7"/>
      <c r="D79" s="7"/>
      <c r="E79" s="7"/>
      <c r="F79" s="7"/>
      <c r="G79" s="7"/>
      <c r="H79" s="7"/>
      <c r="I79" s="7"/>
      <c r="J79" s="7"/>
      <c r="K79" s="7"/>
      <c r="L79" s="7"/>
      <c r="M79" s="7"/>
      <c r="N79" s="7"/>
      <c r="O79" s="7"/>
      <c r="P79" s="7"/>
      <c r="Q79" s="7"/>
      <c r="R79" s="7"/>
      <c r="S79" s="7"/>
      <c r="T79" s="7"/>
      <c r="U79" s="7"/>
      <c r="V79" s="7"/>
      <c r="W79" s="7"/>
      <c r="X79" s="7"/>
      <c r="Y79" s="7"/>
    </row>
    <row r="80" spans="1:25" ht="15.75" customHeight="1">
      <c r="A80" s="7"/>
      <c r="B80" s="7"/>
      <c r="C80" s="7"/>
      <c r="D80" s="7"/>
      <c r="E80" s="7"/>
      <c r="F80" s="7"/>
      <c r="G80" s="7"/>
      <c r="H80" s="7"/>
      <c r="I80" s="7"/>
      <c r="J80" s="7"/>
      <c r="K80" s="7"/>
      <c r="L80" s="7"/>
      <c r="M80" s="7"/>
      <c r="N80" s="7"/>
      <c r="O80" s="7"/>
      <c r="P80" s="7"/>
      <c r="Q80" s="7"/>
      <c r="R80" s="7"/>
      <c r="S80" s="7"/>
      <c r="T80" s="7"/>
      <c r="U80" s="7"/>
      <c r="V80" s="7"/>
      <c r="W80" s="7"/>
      <c r="X80" s="7"/>
      <c r="Y80" s="7"/>
    </row>
    <row r="81" spans="1:25" ht="15.75" customHeight="1">
      <c r="A81" s="7"/>
      <c r="B81" s="7"/>
      <c r="C81" s="7"/>
      <c r="D81" s="7"/>
      <c r="E81" s="7"/>
      <c r="F81" s="7"/>
      <c r="G81" s="7"/>
      <c r="H81" s="7"/>
      <c r="I81" s="7"/>
      <c r="J81" s="7"/>
      <c r="K81" s="7"/>
      <c r="L81" s="7"/>
      <c r="M81" s="7"/>
      <c r="N81" s="7"/>
      <c r="O81" s="7"/>
      <c r="P81" s="7"/>
      <c r="Q81" s="7"/>
      <c r="R81" s="7"/>
      <c r="S81" s="7"/>
      <c r="T81" s="7"/>
      <c r="U81" s="7"/>
      <c r="V81" s="7"/>
      <c r="W81" s="7"/>
      <c r="X81" s="7"/>
      <c r="Y81" s="7"/>
    </row>
    <row r="82" spans="1:25" ht="15.75" customHeight="1">
      <c r="A82" s="7"/>
      <c r="B82" s="7"/>
      <c r="C82" s="7"/>
      <c r="D82" s="7"/>
      <c r="E82" s="7"/>
      <c r="F82" s="7"/>
      <c r="G82" s="7"/>
      <c r="H82" s="7"/>
      <c r="I82" s="7"/>
      <c r="J82" s="7"/>
      <c r="K82" s="7"/>
      <c r="L82" s="7"/>
      <c r="M82" s="7"/>
      <c r="N82" s="7"/>
      <c r="O82" s="7"/>
      <c r="P82" s="7"/>
      <c r="Q82" s="7"/>
      <c r="R82" s="7"/>
      <c r="S82" s="7"/>
      <c r="T82" s="7"/>
      <c r="U82" s="7"/>
      <c r="V82" s="7"/>
      <c r="W82" s="7"/>
      <c r="X82" s="7"/>
      <c r="Y82" s="7"/>
    </row>
    <row r="83" spans="1:25" ht="15.75" customHeight="1">
      <c r="A83" s="7"/>
      <c r="B83" s="7"/>
      <c r="C83" s="7"/>
      <c r="D83" s="7"/>
      <c r="E83" s="7"/>
      <c r="F83" s="7"/>
      <c r="G83" s="7"/>
      <c r="H83" s="7"/>
      <c r="I83" s="7"/>
      <c r="J83" s="7"/>
      <c r="K83" s="7"/>
      <c r="L83" s="7"/>
      <c r="M83" s="7"/>
      <c r="N83" s="7"/>
      <c r="O83" s="7"/>
      <c r="P83" s="7"/>
      <c r="Q83" s="7"/>
      <c r="R83" s="7"/>
      <c r="S83" s="7"/>
      <c r="T83" s="7"/>
      <c r="U83" s="7"/>
      <c r="V83" s="7"/>
      <c r="W83" s="7"/>
      <c r="X83" s="7"/>
      <c r="Y83" s="7"/>
    </row>
    <row r="84" spans="1:25" ht="15.75" customHeight="1">
      <c r="A84" s="7"/>
      <c r="B84" s="7"/>
      <c r="C84" s="7"/>
      <c r="D84" s="7"/>
      <c r="E84" s="7"/>
      <c r="F84" s="7"/>
      <c r="G84" s="7"/>
      <c r="H84" s="7"/>
      <c r="I84" s="7"/>
      <c r="J84" s="7"/>
      <c r="K84" s="7"/>
      <c r="L84" s="7"/>
      <c r="M84" s="7"/>
      <c r="N84" s="7"/>
      <c r="O84" s="7"/>
      <c r="P84" s="7"/>
      <c r="Q84" s="7"/>
      <c r="R84" s="7"/>
      <c r="S84" s="7"/>
      <c r="T84" s="7"/>
      <c r="U84" s="7"/>
      <c r="V84" s="7"/>
      <c r="W84" s="7"/>
      <c r="X84" s="7"/>
      <c r="Y84" s="7"/>
    </row>
    <row r="85" spans="1:25" ht="15.75" customHeight="1">
      <c r="A85" s="7"/>
      <c r="B85" s="7"/>
      <c r="C85" s="7"/>
      <c r="D85" s="7"/>
      <c r="E85" s="7"/>
      <c r="F85" s="7"/>
      <c r="G85" s="7"/>
      <c r="H85" s="7"/>
      <c r="I85" s="7"/>
      <c r="J85" s="7"/>
      <c r="K85" s="7"/>
      <c r="L85" s="7"/>
      <c r="M85" s="7"/>
      <c r="N85" s="7"/>
      <c r="O85" s="7"/>
      <c r="P85" s="7"/>
      <c r="Q85" s="7"/>
      <c r="R85" s="7"/>
      <c r="S85" s="7"/>
      <c r="T85" s="7"/>
      <c r="U85" s="7"/>
      <c r="V85" s="7"/>
      <c r="W85" s="7"/>
      <c r="X85" s="7"/>
      <c r="Y85" s="7"/>
    </row>
    <row r="86" spans="1:25" ht="15.75" customHeight="1">
      <c r="A86" s="7"/>
      <c r="B86" s="7"/>
      <c r="C86" s="7"/>
      <c r="D86" s="7"/>
      <c r="E86" s="7"/>
      <c r="F86" s="7"/>
      <c r="G86" s="7"/>
      <c r="H86" s="7"/>
      <c r="I86" s="7"/>
      <c r="J86" s="7"/>
      <c r="K86" s="7"/>
      <c r="L86" s="7"/>
      <c r="M86" s="7"/>
      <c r="N86" s="7"/>
      <c r="O86" s="7"/>
      <c r="P86" s="7"/>
      <c r="Q86" s="7"/>
      <c r="R86" s="7"/>
      <c r="S86" s="7"/>
      <c r="T86" s="7"/>
      <c r="U86" s="7"/>
      <c r="V86" s="7"/>
      <c r="W86" s="7"/>
      <c r="X86" s="7"/>
      <c r="Y86" s="7"/>
    </row>
    <row r="87" spans="1:25" ht="15.75" customHeight="1">
      <c r="A87" s="7"/>
      <c r="B87" s="7"/>
      <c r="C87" s="7"/>
      <c r="D87" s="7"/>
      <c r="E87" s="7"/>
      <c r="F87" s="7"/>
      <c r="G87" s="7"/>
      <c r="H87" s="7"/>
      <c r="I87" s="7"/>
      <c r="J87" s="7"/>
      <c r="K87" s="7"/>
      <c r="L87" s="7"/>
      <c r="M87" s="7"/>
      <c r="N87" s="7"/>
      <c r="O87" s="7"/>
      <c r="P87" s="7"/>
      <c r="Q87" s="7"/>
      <c r="R87" s="7"/>
      <c r="S87" s="7"/>
      <c r="T87" s="7"/>
      <c r="U87" s="7"/>
      <c r="V87" s="7"/>
      <c r="W87" s="7"/>
      <c r="X87" s="7"/>
      <c r="Y87" s="7"/>
    </row>
    <row r="88" spans="1:25" ht="15.75" customHeight="1">
      <c r="A88" s="7"/>
      <c r="B88" s="7"/>
      <c r="C88" s="7"/>
      <c r="D88" s="7"/>
      <c r="E88" s="7"/>
      <c r="F88" s="7"/>
      <c r="G88" s="7"/>
      <c r="H88" s="7"/>
      <c r="I88" s="7"/>
      <c r="J88" s="7"/>
      <c r="K88" s="7"/>
      <c r="L88" s="7"/>
      <c r="M88" s="7"/>
      <c r="N88" s="7"/>
      <c r="O88" s="7"/>
      <c r="P88" s="7"/>
      <c r="Q88" s="7"/>
      <c r="R88" s="7"/>
      <c r="S88" s="7"/>
      <c r="T88" s="7"/>
      <c r="U88" s="7"/>
      <c r="V88" s="7"/>
      <c r="W88" s="7"/>
      <c r="X88" s="7"/>
      <c r="Y88" s="7"/>
    </row>
    <row r="89" spans="1:25" ht="15.75" customHeight="1">
      <c r="A89" s="7"/>
      <c r="B89" s="7"/>
      <c r="C89" s="7"/>
      <c r="D89" s="7"/>
      <c r="E89" s="7"/>
      <c r="F89" s="7"/>
      <c r="G89" s="7"/>
      <c r="H89" s="7"/>
      <c r="I89" s="7"/>
      <c r="J89" s="7"/>
      <c r="K89" s="7"/>
      <c r="L89" s="7"/>
      <c r="M89" s="7"/>
      <c r="N89" s="7"/>
      <c r="O89" s="7"/>
      <c r="P89" s="7"/>
      <c r="Q89" s="7"/>
      <c r="R89" s="7"/>
      <c r="S89" s="7"/>
      <c r="T89" s="7"/>
      <c r="U89" s="7"/>
      <c r="V89" s="7"/>
      <c r="W89" s="7"/>
      <c r="X89" s="7"/>
      <c r="Y89" s="7"/>
    </row>
    <row r="90" spans="1:25" ht="15.75" customHeight="1">
      <c r="A90" s="7"/>
      <c r="B90" s="7"/>
      <c r="C90" s="7"/>
      <c r="D90" s="7"/>
      <c r="E90" s="7"/>
      <c r="F90" s="7"/>
      <c r="G90" s="7"/>
      <c r="H90" s="7"/>
      <c r="I90" s="7"/>
      <c r="J90" s="7"/>
      <c r="K90" s="7"/>
      <c r="L90" s="7"/>
      <c r="M90" s="7"/>
      <c r="N90" s="7"/>
      <c r="O90" s="7"/>
      <c r="P90" s="7"/>
      <c r="Q90" s="7"/>
      <c r="R90" s="7"/>
      <c r="S90" s="7"/>
      <c r="T90" s="7"/>
      <c r="U90" s="7"/>
      <c r="V90" s="7"/>
      <c r="W90" s="7"/>
      <c r="X90" s="7"/>
      <c r="Y90" s="7"/>
    </row>
    <row r="91" spans="1:25" ht="15.75" customHeight="1">
      <c r="A91" s="7"/>
      <c r="B91" s="7"/>
      <c r="C91" s="7"/>
      <c r="D91" s="7"/>
      <c r="E91" s="7"/>
      <c r="F91" s="7"/>
      <c r="G91" s="7"/>
      <c r="H91" s="7"/>
      <c r="I91" s="7"/>
      <c r="J91" s="7"/>
      <c r="K91" s="7"/>
      <c r="L91" s="7"/>
      <c r="M91" s="7"/>
      <c r="N91" s="7"/>
      <c r="O91" s="7"/>
      <c r="P91" s="7"/>
      <c r="Q91" s="7"/>
      <c r="R91" s="7"/>
      <c r="S91" s="7"/>
      <c r="T91" s="7"/>
      <c r="U91" s="7"/>
      <c r="V91" s="7"/>
      <c r="W91" s="7"/>
      <c r="X91" s="7"/>
      <c r="Y91" s="7"/>
    </row>
    <row r="92" spans="1:25" ht="15.75" customHeight="1">
      <c r="A92" s="7"/>
      <c r="B92" s="7"/>
      <c r="C92" s="7"/>
      <c r="D92" s="7"/>
      <c r="E92" s="7"/>
      <c r="F92" s="7"/>
      <c r="G92" s="7"/>
      <c r="H92" s="7"/>
      <c r="I92" s="7"/>
      <c r="J92" s="7"/>
      <c r="K92" s="7"/>
      <c r="L92" s="7"/>
      <c r="M92" s="7"/>
      <c r="N92" s="7"/>
      <c r="O92" s="7"/>
      <c r="P92" s="7"/>
      <c r="Q92" s="7"/>
      <c r="R92" s="7"/>
      <c r="S92" s="7"/>
      <c r="T92" s="7"/>
      <c r="U92" s="7"/>
      <c r="V92" s="7"/>
      <c r="W92" s="7"/>
      <c r="X92" s="7"/>
      <c r="Y92" s="7"/>
    </row>
    <row r="93" spans="1:25" ht="15.75" customHeight="1">
      <c r="A93" s="7"/>
      <c r="B93" s="7"/>
      <c r="C93" s="7"/>
      <c r="D93" s="7"/>
      <c r="E93" s="7"/>
      <c r="F93" s="7"/>
      <c r="G93" s="7"/>
      <c r="H93" s="7"/>
      <c r="I93" s="7"/>
      <c r="J93" s="7"/>
      <c r="K93" s="7"/>
      <c r="L93" s="7"/>
      <c r="M93" s="7"/>
      <c r="N93" s="7"/>
      <c r="O93" s="7"/>
      <c r="P93" s="7"/>
      <c r="Q93" s="7"/>
      <c r="R93" s="7"/>
      <c r="S93" s="7"/>
      <c r="T93" s="7"/>
      <c r="U93" s="7"/>
      <c r="V93" s="7"/>
      <c r="W93" s="7"/>
      <c r="X93" s="7"/>
      <c r="Y93" s="7"/>
    </row>
    <row r="94" spans="1:25" ht="15.75" customHeight="1">
      <c r="A94" s="7"/>
      <c r="B94" s="7"/>
      <c r="C94" s="7"/>
      <c r="D94" s="7"/>
      <c r="E94" s="7"/>
      <c r="F94" s="7"/>
      <c r="G94" s="7"/>
      <c r="H94" s="7"/>
      <c r="I94" s="7"/>
      <c r="J94" s="7"/>
      <c r="K94" s="7"/>
      <c r="L94" s="7"/>
      <c r="M94" s="7"/>
      <c r="N94" s="7"/>
      <c r="O94" s="7"/>
      <c r="P94" s="7"/>
      <c r="Q94" s="7"/>
      <c r="R94" s="7"/>
      <c r="S94" s="7"/>
      <c r="T94" s="7"/>
      <c r="U94" s="7"/>
      <c r="V94" s="7"/>
      <c r="W94" s="7"/>
      <c r="X94" s="7"/>
      <c r="Y94" s="7"/>
    </row>
    <row r="95" spans="1:25" ht="15.75" customHeight="1">
      <c r="A95" s="7"/>
      <c r="B95" s="7"/>
      <c r="C95" s="7"/>
      <c r="D95" s="7"/>
      <c r="E95" s="7"/>
      <c r="F95" s="7"/>
      <c r="G95" s="7"/>
      <c r="H95" s="7"/>
      <c r="I95" s="7"/>
      <c r="J95" s="7"/>
      <c r="K95" s="7"/>
      <c r="L95" s="7"/>
      <c r="M95" s="7"/>
      <c r="N95" s="7"/>
      <c r="O95" s="7"/>
      <c r="P95" s="7"/>
      <c r="Q95" s="7"/>
      <c r="R95" s="7"/>
      <c r="S95" s="7"/>
      <c r="T95" s="7"/>
      <c r="U95" s="7"/>
      <c r="V95" s="7"/>
      <c r="W95" s="7"/>
      <c r="X95" s="7"/>
      <c r="Y95" s="7"/>
    </row>
    <row r="96" spans="1:25" ht="15.75" customHeight="1">
      <c r="A96" s="7"/>
      <c r="B96" s="7"/>
      <c r="C96" s="7"/>
      <c r="D96" s="7"/>
      <c r="E96" s="7"/>
      <c r="F96" s="7"/>
      <c r="G96" s="7"/>
      <c r="H96" s="7"/>
      <c r="I96" s="7"/>
      <c r="J96" s="7"/>
      <c r="K96" s="7"/>
      <c r="L96" s="7"/>
      <c r="M96" s="7"/>
      <c r="N96" s="7"/>
      <c r="O96" s="7"/>
      <c r="P96" s="7"/>
      <c r="Q96" s="7"/>
      <c r="R96" s="7"/>
      <c r="S96" s="7"/>
      <c r="T96" s="7"/>
      <c r="U96" s="7"/>
      <c r="V96" s="7"/>
      <c r="W96" s="7"/>
      <c r="X96" s="7"/>
      <c r="Y96" s="7"/>
    </row>
    <row r="97" spans="1:25" ht="15.75" customHeight="1">
      <c r="A97" s="7"/>
      <c r="B97" s="7"/>
      <c r="C97" s="7"/>
      <c r="D97" s="7"/>
      <c r="E97" s="7"/>
      <c r="F97" s="7"/>
      <c r="G97" s="7"/>
      <c r="H97" s="7"/>
      <c r="I97" s="7"/>
      <c r="J97" s="7"/>
      <c r="K97" s="7"/>
      <c r="L97" s="7"/>
      <c r="M97" s="7"/>
      <c r="N97" s="7"/>
      <c r="O97" s="7"/>
      <c r="P97" s="7"/>
      <c r="Q97" s="7"/>
      <c r="R97" s="7"/>
      <c r="S97" s="7"/>
      <c r="T97" s="7"/>
      <c r="U97" s="7"/>
      <c r="V97" s="7"/>
      <c r="W97" s="7"/>
      <c r="X97" s="7"/>
      <c r="Y97" s="7"/>
    </row>
    <row r="98" spans="1:25" ht="15.75" customHeight="1">
      <c r="A98" s="7"/>
      <c r="B98" s="7"/>
      <c r="C98" s="7"/>
      <c r="D98" s="7"/>
      <c r="E98" s="7"/>
      <c r="F98" s="7"/>
      <c r="G98" s="7"/>
      <c r="H98" s="7"/>
      <c r="I98" s="7"/>
      <c r="J98" s="7"/>
      <c r="K98" s="7"/>
      <c r="L98" s="7"/>
      <c r="M98" s="7"/>
      <c r="N98" s="7"/>
      <c r="O98" s="7"/>
      <c r="P98" s="7"/>
      <c r="Q98" s="7"/>
      <c r="R98" s="7"/>
      <c r="S98" s="7"/>
      <c r="T98" s="7"/>
      <c r="U98" s="7"/>
      <c r="V98" s="7"/>
      <c r="W98" s="7"/>
      <c r="X98" s="7"/>
      <c r="Y98" s="7"/>
    </row>
    <row r="99" spans="1:25" ht="15.75" customHeight="1">
      <c r="A99" s="7"/>
      <c r="B99" s="7"/>
      <c r="C99" s="7"/>
      <c r="D99" s="7"/>
      <c r="E99" s="7"/>
      <c r="F99" s="7"/>
      <c r="G99" s="7"/>
      <c r="H99" s="7"/>
      <c r="I99" s="7"/>
      <c r="J99" s="7"/>
      <c r="K99" s="7"/>
      <c r="L99" s="7"/>
      <c r="M99" s="7"/>
      <c r="N99" s="7"/>
      <c r="O99" s="7"/>
      <c r="P99" s="7"/>
      <c r="Q99" s="7"/>
      <c r="R99" s="7"/>
      <c r="S99" s="7"/>
      <c r="T99" s="7"/>
      <c r="U99" s="7"/>
      <c r="V99" s="7"/>
      <c r="W99" s="7"/>
      <c r="X99" s="7"/>
      <c r="Y99" s="7"/>
    </row>
    <row r="100" spans="1:25" ht="15.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5.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5.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5.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5.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5.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5.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5.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5.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5.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5.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5.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5.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5.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5.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5.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5.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5.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5.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5.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5.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5.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5.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5.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5.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5.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5.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5.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5.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5.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5.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5.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5.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5.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5.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5.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5.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5.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5.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5.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5.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5.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5.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5.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5.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5.75" customHeight="1"/>
    <row r="282" spans="1:25" ht="15.75" customHeight="1"/>
    <row r="283" spans="1:25" ht="15.75" customHeight="1"/>
    <row r="284" spans="1:25" ht="15.75" customHeight="1"/>
    <row r="285" spans="1:25" ht="15.75" customHeight="1"/>
    <row r="286" spans="1:25" ht="15.75" customHeight="1"/>
    <row r="287" spans="1:25" ht="15.75" customHeight="1"/>
    <row r="288" spans="1:25"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 right="0" top="0" bottom="0" header="0" footer="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2020-12-17T04:36:53Z</dcterms:created>
  <dcterms:modified xsi:type="dcterms:W3CDTF">2021-06-23T21:51:33Z</dcterms:modified>
  <cp:category/>
  <cp:contentStatus/>
</cp:coreProperties>
</file>